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8" windowWidth="16536" windowHeight="9360" activeTab="0"/>
  </bookViews>
  <sheets>
    <sheet name="INFO" sheetId="1" r:id="rId1"/>
    <sheet name="introduction" sheetId="2" r:id="rId2"/>
    <sheet name="In-output" sheetId="3" r:id="rId3"/>
    <sheet name="measurment" sheetId="4" r:id="rId4"/>
    <sheet name="Condensation(measurement)" sheetId="5" r:id="rId5"/>
    <sheet name="calculation 4." sheetId="6" r:id="rId6"/>
    <sheet name="calculation 5.2" sheetId="7" r:id="rId7"/>
    <sheet name="tabels" sheetId="8" r:id="rId8"/>
  </sheets>
  <definedNames>
    <definedName name="_Toc194218524" localSheetId="3">'measurment'!$M$48</definedName>
    <definedName name="_Toc247685344" localSheetId="3">'measurment'!$M$9</definedName>
    <definedName name="_Toc247685345" localSheetId="3">'measurment'!$M$31</definedName>
    <definedName name="_xlfn.SUMIFS" hidden="1">#NAME?</definedName>
    <definedName name="boiler">'tabels'!$C$19:$C$55</definedName>
    <definedName name="chimney">'measurment'!$N$36:$N$40</definedName>
    <definedName name="controler">'calculation 4.'!$N$22:$N$24</definedName>
    <definedName name="fuel">'measurment'!$M$12:$M$19</definedName>
    <definedName name="heatload">'calculation 4.'!$L$30:$L$32</definedName>
    <definedName name="location">'tabels'!$C$75:$C$78</definedName>
    <definedName name="procedure">'calculation 5.2'!$G$12:$G$13</definedName>
    <definedName name="year">'tabels'!#REF!</definedName>
  </definedNames>
  <calcPr fullCalcOnLoad="1"/>
</workbook>
</file>

<file path=xl/sharedStrings.xml><?xml version="1.0" encoding="utf-8"?>
<sst xmlns="http://schemas.openxmlformats.org/spreadsheetml/2006/main" count="907" uniqueCount="509">
  <si>
    <t>Notation</t>
  </si>
  <si>
    <t>Meaning</t>
  </si>
  <si>
    <t>Reference</t>
  </si>
  <si>
    <t>see ISO 13790</t>
  </si>
  <si>
    <r>
      <t>t</t>
    </r>
    <r>
      <rPr>
        <vertAlign val="subscript"/>
        <sz val="10"/>
        <color indexed="8"/>
        <rFont val="Times New Roman"/>
        <family val="1"/>
      </rPr>
      <t>H</t>
    </r>
  </si>
  <si>
    <r>
      <t>J</t>
    </r>
    <r>
      <rPr>
        <vertAlign val="subscript"/>
        <sz val="10"/>
        <color indexed="8"/>
        <rFont val="Arial"/>
        <family val="2"/>
      </rPr>
      <t>e</t>
    </r>
  </si>
  <si>
    <t>external air temperature, in °C</t>
  </si>
  <si>
    <t>see external climat data</t>
  </si>
  <si>
    <t>daily average design temperature, in °C;</t>
  </si>
  <si>
    <t>ambient temperature, in °C</t>
  </si>
  <si>
    <t>Input</t>
  </si>
  <si>
    <t>-</t>
  </si>
  <si>
    <t>°C</t>
  </si>
  <si>
    <t>Description</t>
  </si>
  <si>
    <r>
      <t>E</t>
    </r>
    <r>
      <rPr>
        <vertAlign val="subscript"/>
        <sz val="10"/>
        <color indexed="8"/>
        <rFont val="Times New Roman"/>
        <family val="1"/>
      </rPr>
      <t>gen,in</t>
    </r>
  </si>
  <si>
    <t>Fuel heat requirement</t>
  </si>
  <si>
    <t>generation heat losses for the heating system to the installation room space (in the month), in kWh</t>
  </si>
  <si>
    <t>heat generation auxiliary energy for the heating system (in the month), in kWh</t>
  </si>
  <si>
    <t>kWh/mth</t>
  </si>
  <si>
    <t>kW</t>
  </si>
  <si>
    <r>
      <t>P</t>
    </r>
    <r>
      <rPr>
        <vertAlign val="subscript"/>
        <sz val="11"/>
        <color indexed="8"/>
        <rFont val="Arial"/>
        <family val="2"/>
      </rPr>
      <t>n</t>
    </r>
  </si>
  <si>
    <t>heat load calculation</t>
  </si>
  <si>
    <t>Vol-%</t>
  </si>
  <si>
    <r>
      <t>J</t>
    </r>
    <r>
      <rPr>
        <vertAlign val="subscript"/>
        <sz val="10"/>
        <color indexed="8"/>
        <rFont val="Arial"/>
        <family val="2"/>
      </rPr>
      <t>ch</t>
    </r>
  </si>
  <si>
    <r>
      <t>J</t>
    </r>
    <r>
      <rPr>
        <vertAlign val="subscript"/>
        <sz val="10"/>
        <color indexed="8"/>
        <rFont val="Arial"/>
        <family val="2"/>
      </rPr>
      <t>brm</t>
    </r>
  </si>
  <si>
    <r>
      <t>c</t>
    </r>
    <r>
      <rPr>
        <vertAlign val="subscript"/>
        <sz val="10"/>
        <color indexed="8"/>
        <rFont val="Arial"/>
        <family val="2"/>
      </rPr>
      <t>10</t>
    </r>
  </si>
  <si>
    <r>
      <t>c</t>
    </r>
    <r>
      <rPr>
        <vertAlign val="subscript"/>
        <sz val="10"/>
        <color indexed="8"/>
        <rFont val="Arial"/>
        <family val="2"/>
      </rPr>
      <t>11</t>
    </r>
  </si>
  <si>
    <t>Table A.9 — Fuel constants for fluegas measurement depending on Siegert constants</t>
  </si>
  <si>
    <t>flue gas temperature</t>
  </si>
  <si>
    <t>installation room temperature</t>
  </si>
  <si>
    <t>flue gas oxygen contents</t>
  </si>
  <si>
    <t>Annex A</t>
  </si>
  <si>
    <t>front</t>
  </si>
  <si>
    <t>back</t>
  </si>
  <si>
    <t>left side</t>
  </si>
  <si>
    <t>right side</t>
  </si>
  <si>
    <t>top</t>
  </si>
  <si>
    <t>breadth</t>
  </si>
  <si>
    <t>extent</t>
  </si>
  <si>
    <t>(dimension)</t>
  </si>
  <si>
    <t>m</t>
  </si>
  <si>
    <t>m²</t>
  </si>
  <si>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expanse</t>
    </r>
  </si>
  <si>
    <r>
      <t>DJ</t>
    </r>
    <r>
      <rPr>
        <vertAlign val="subscript"/>
        <sz val="10"/>
        <color indexed="8"/>
        <rFont val="Arial"/>
        <family val="2"/>
      </rPr>
      <t>pa</t>
    </r>
  </si>
  <si>
    <t>a</t>
  </si>
  <si>
    <t>W/m²</t>
  </si>
  <si>
    <r>
      <t>A</t>
    </r>
    <r>
      <rPr>
        <vertAlign val="subscript"/>
        <sz val="11"/>
        <color indexed="8"/>
        <rFont val="Arial"/>
        <family val="2"/>
      </rPr>
      <t>pa</t>
    </r>
    <r>
      <rPr>
        <sz val="11"/>
        <color theme="1"/>
        <rFont val="Arial"/>
        <family val="2"/>
      </rPr>
      <t xml:space="preserve"> x </t>
    </r>
    <r>
      <rPr>
        <sz val="11"/>
        <color indexed="8"/>
        <rFont val="Symbol"/>
        <family val="1"/>
      </rPr>
      <t>a</t>
    </r>
    <r>
      <rPr>
        <sz val="11"/>
        <color theme="1"/>
        <rFont val="Arial"/>
        <family val="2"/>
      </rPr>
      <t xml:space="preserve"> x </t>
    </r>
    <r>
      <rPr>
        <sz val="11"/>
        <color indexed="8"/>
        <rFont val="Symbol"/>
        <family val="1"/>
      </rPr>
      <t>D J</t>
    </r>
    <r>
      <rPr>
        <vertAlign val="subscript"/>
        <sz val="11"/>
        <color indexed="8"/>
        <rFont val="Arial"/>
        <family val="2"/>
      </rPr>
      <t>pa</t>
    </r>
  </si>
  <si>
    <r>
      <t>A</t>
    </r>
    <r>
      <rPr>
        <vertAlign val="subscript"/>
        <sz val="11"/>
        <color indexed="8"/>
        <rFont val="Arial"/>
        <family val="2"/>
      </rPr>
      <t>pa</t>
    </r>
    <r>
      <rPr>
        <sz val="11"/>
        <color theme="1"/>
        <rFont val="Arial"/>
        <family val="2"/>
      </rPr>
      <t xml:space="preserve"> </t>
    </r>
  </si>
  <si>
    <t>K</t>
  </si>
  <si>
    <r>
      <t>f</t>
    </r>
    <r>
      <rPr>
        <b/>
        <vertAlign val="subscript"/>
        <sz val="10"/>
        <color indexed="8"/>
        <rFont val="Arial"/>
        <family val="2"/>
      </rPr>
      <t>ch,off</t>
    </r>
  </si>
  <si>
    <t>%</t>
  </si>
  <si>
    <t>Liquid fuel or gas fired boiler with the fan before the combustion chamber and automatic closure of air intake with burner off:</t>
  </si>
  <si>
    <t>Premixed burners</t>
  </si>
  <si>
    <t>Wall mounted, gas fired boiler with fan and wall flue gas exhaust</t>
  </si>
  <si>
    <t>Liquid fuel or gas fired boiler with the fan before the combustion chamber and no closure of air intake with burner off:</t>
  </si>
  <si>
    <t>Chimney height ≤ 10 m</t>
  </si>
  <si>
    <t>Chimney height &gt; 10 m</t>
  </si>
  <si>
    <r>
      <t xml:space="preserve">Table A.10 — Default value of </t>
    </r>
    <r>
      <rPr>
        <b/>
        <i/>
        <sz val="10"/>
        <color indexed="8"/>
        <rFont val="Arial"/>
        <family val="2"/>
      </rPr>
      <t>f</t>
    </r>
    <r>
      <rPr>
        <b/>
        <vertAlign val="subscript"/>
        <sz val="10"/>
        <color indexed="8"/>
        <rFont val="Arial"/>
        <family val="2"/>
      </rPr>
      <t>ch,off</t>
    </r>
  </si>
  <si>
    <r>
      <t>P</t>
    </r>
    <r>
      <rPr>
        <vertAlign val="subscript"/>
        <sz val="11"/>
        <color indexed="8"/>
        <rFont val="Arial"/>
        <family val="2"/>
      </rPr>
      <t>cond</t>
    </r>
  </si>
  <si>
    <t>A.5 Default values for calculation of thermal losses through the chimney with the burner off</t>
  </si>
  <si>
    <t>A.6 Additional default data and calculation for condensing boilers</t>
  </si>
  <si>
    <t>Table A.12 — Default fuel data for condensation heat recovery calculation</t>
  </si>
  <si>
    <t>Property</t>
  </si>
  <si>
    <t>Symbol</t>
  </si>
  <si>
    <t>Unit</t>
  </si>
  <si>
    <t>Fuel</t>
  </si>
  <si>
    <t>Natural gas</t>
  </si>
  <si>
    <t>(Groningen)</t>
  </si>
  <si>
    <t>Propane</t>
  </si>
  <si>
    <t>Butane</t>
  </si>
  <si>
    <t>Light oil EL</t>
  </si>
  <si>
    <t>Unit mass of fuel</t>
  </si>
  <si>
    <t>1 Nm³</t>
  </si>
  <si>
    <t>1 kg</t>
  </si>
  <si>
    <t>Gross calorific value</t>
  </si>
  <si>
    <r>
      <t>H</t>
    </r>
    <r>
      <rPr>
        <vertAlign val="subscript"/>
        <sz val="9"/>
        <color indexed="8"/>
        <rFont val="Arial"/>
        <family val="2"/>
      </rPr>
      <t>s</t>
    </r>
  </si>
  <si>
    <t>kJ/kg</t>
  </si>
  <si>
    <t>or</t>
  </si>
  <si>
    <t xml:space="preserve"> kJ/Nm³</t>
  </si>
  <si>
    <t>Net calorific value</t>
  </si>
  <si>
    <r>
      <t>H</t>
    </r>
    <r>
      <rPr>
        <vertAlign val="subscript"/>
        <sz val="9"/>
        <color indexed="8"/>
        <rFont val="Arial"/>
        <family val="2"/>
      </rPr>
      <t>i</t>
    </r>
  </si>
  <si>
    <t>Stoichiometric dry air</t>
  </si>
  <si>
    <r>
      <t>V</t>
    </r>
    <r>
      <rPr>
        <vertAlign val="subscript"/>
        <sz val="9"/>
        <color indexed="8"/>
        <rFont val="Arial"/>
        <family val="2"/>
      </rPr>
      <t>air,st,dry</t>
    </r>
  </si>
  <si>
    <t>Nm³/kg or Nm³/Nm</t>
  </si>
  <si>
    <t>Stoichiometric dry flue gas</t>
  </si>
  <si>
    <r>
      <t>V</t>
    </r>
    <r>
      <rPr>
        <vertAlign val="subscript"/>
        <sz val="9"/>
        <color indexed="8"/>
        <rFont val="Arial"/>
        <family val="2"/>
      </rPr>
      <t>fg,st,dry</t>
    </r>
  </si>
  <si>
    <t>Stoichiometric water production</t>
  </si>
  <si>
    <r>
      <t>m</t>
    </r>
    <r>
      <rPr>
        <vertAlign val="subscript"/>
        <sz val="9"/>
        <color indexed="8"/>
        <rFont val="Arial"/>
        <family val="2"/>
      </rPr>
      <t>H2O,st</t>
    </r>
  </si>
  <si>
    <t>unit</t>
  </si>
  <si>
    <r>
      <t>Table A.13 — Default values for the calculation of Q</t>
    </r>
    <r>
      <rPr>
        <b/>
        <vertAlign val="subscript"/>
        <sz val="10"/>
        <color indexed="8"/>
        <rFont val="Arial"/>
        <family val="2"/>
      </rPr>
      <t>cond</t>
    </r>
  </si>
  <si>
    <t>Case</t>
  </si>
  <si>
    <t>Value</t>
  </si>
  <si>
    <t>Combustion air relative humidity</t>
  </si>
  <si>
    <r>
      <t>x</t>
    </r>
    <r>
      <rPr>
        <vertAlign val="subscript"/>
        <sz val="10"/>
        <color indexed="8"/>
        <rFont val="Arial"/>
        <family val="2"/>
      </rPr>
      <t>air</t>
    </r>
  </si>
  <si>
    <t>All cases</t>
  </si>
  <si>
    <t>Flue gas relative humidity</t>
  </si>
  <si>
    <r>
      <t>x</t>
    </r>
    <r>
      <rPr>
        <vertAlign val="subscript"/>
        <sz val="10"/>
        <color indexed="8"/>
        <rFont val="Arial"/>
        <family val="2"/>
      </rPr>
      <t>fg</t>
    </r>
  </si>
  <si>
    <t>Flue gas oxygen contents at maximum combustion power</t>
  </si>
  <si>
    <t>A.4 Fuel constants for fluegas measurement depending on Siegert constants</t>
  </si>
  <si>
    <t>Additional formulas and default values for parametering the boiler efficiency method</t>
  </si>
  <si>
    <r>
      <t>H</t>
    </r>
    <r>
      <rPr>
        <vertAlign val="subscript"/>
        <sz val="11"/>
        <color indexed="8"/>
        <rFont val="Arial"/>
        <family val="2"/>
      </rPr>
      <t>i</t>
    </r>
    <r>
      <rPr>
        <sz val="11"/>
        <color theme="1"/>
        <rFont val="Arial"/>
        <family val="2"/>
      </rPr>
      <t xml:space="preserve"> =</t>
    </r>
  </si>
  <si>
    <t>Kopie aus der Tabelle A.12</t>
  </si>
  <si>
    <t>A.10</t>
  </si>
  <si>
    <t>A.6</t>
  </si>
  <si>
    <t>m³/m³ or m³/kg</t>
  </si>
  <si>
    <t>out of measurement:</t>
  </si>
  <si>
    <t>A.11</t>
  </si>
  <si>
    <t>Table A.11 — Saturation humidity as a function of temperature</t>
  </si>
  <si>
    <t>Temperature</t>
  </si>
  <si>
    <r>
      <t>(</t>
    </r>
    <r>
      <rPr>
        <i/>
        <sz val="9"/>
        <color indexed="8"/>
        <rFont val="Symbol"/>
        <family val="1"/>
      </rPr>
      <t>J</t>
    </r>
    <r>
      <rPr>
        <vertAlign val="subscript"/>
        <sz val="9"/>
        <color indexed="8"/>
        <rFont val="Arial"/>
        <family val="2"/>
      </rPr>
      <t xml:space="preserve">air </t>
    </r>
    <r>
      <rPr>
        <sz val="9"/>
        <color indexed="8"/>
        <rFont val="Arial"/>
        <family val="2"/>
      </rPr>
      <t xml:space="preserve">or </t>
    </r>
    <r>
      <rPr>
        <i/>
        <sz val="9"/>
        <color indexed="8"/>
        <rFont val="Symbol"/>
        <family val="1"/>
      </rPr>
      <t>J</t>
    </r>
    <r>
      <rPr>
        <vertAlign val="subscript"/>
        <sz val="9"/>
        <color indexed="8"/>
        <rFont val="Arial"/>
        <family val="2"/>
      </rPr>
      <t>fg</t>
    </r>
    <r>
      <rPr>
        <sz val="9"/>
        <color indexed="8"/>
        <rFont val="Arial"/>
        <family val="2"/>
      </rPr>
      <t>)</t>
    </r>
  </si>
  <si>
    <t>Saturation humidity</t>
  </si>
  <si>
    <r>
      <t>kg/Nm³</t>
    </r>
    <r>
      <rPr>
        <vertAlign val="subscript"/>
        <sz val="9"/>
        <color indexed="8"/>
        <rFont val="Arial"/>
        <family val="2"/>
      </rPr>
      <t>dry</t>
    </r>
  </si>
  <si>
    <t>NOTE Saturation humidity is expressed as kg of water vapour per Nm³ of dry gas (either air or flue gas).</t>
  </si>
  <si>
    <t xml:space="preserve"> </t>
  </si>
  <si>
    <t>A.12</t>
  </si>
  <si>
    <r>
      <t>J</t>
    </r>
    <r>
      <rPr>
        <vertAlign val="subscript"/>
        <sz val="10"/>
        <color indexed="8"/>
        <rFont val="Arial"/>
        <family val="2"/>
      </rPr>
      <t>fg</t>
    </r>
  </si>
  <si>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 xml:space="preserve">int </t>
    </r>
    <r>
      <rPr>
        <sz val="11"/>
        <color theme="1"/>
        <rFont val="Arial"/>
        <family val="2"/>
      </rPr>
      <t xml:space="preserve">= 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 xml:space="preserve"> </t>
    </r>
  </si>
  <si>
    <t>A.9</t>
  </si>
  <si>
    <t>A.13</t>
  </si>
  <si>
    <t>A.15</t>
  </si>
  <si>
    <t>Wh/kg</t>
  </si>
  <si>
    <t>A.16</t>
  </si>
  <si>
    <r>
      <t>Q</t>
    </r>
    <r>
      <rPr>
        <vertAlign val="subscript"/>
        <sz val="11"/>
        <color indexed="8"/>
        <rFont val="Arial"/>
        <family val="2"/>
      </rPr>
      <t xml:space="preserve">cond </t>
    </r>
  </si>
  <si>
    <t>kg/kg or kg/Nm³</t>
  </si>
  <si>
    <t>Wh/kg or Wh/Nm³</t>
  </si>
  <si>
    <t>A.17</t>
  </si>
  <si>
    <r>
      <t>P</t>
    </r>
    <r>
      <rPr>
        <vertAlign val="subscript"/>
        <sz val="11"/>
        <color indexed="8"/>
        <rFont val="Arial"/>
        <family val="2"/>
      </rPr>
      <t>cond</t>
    </r>
    <r>
      <rPr>
        <sz val="11"/>
        <color theme="1"/>
        <rFont val="Arial"/>
        <family val="2"/>
      </rPr>
      <t xml:space="preserve"> </t>
    </r>
  </si>
  <si>
    <t>kJ/kg or kJ/Nm³</t>
  </si>
  <si>
    <r>
      <t>c</t>
    </r>
    <r>
      <rPr>
        <vertAlign val="subscript"/>
        <sz val="11"/>
        <color indexed="8"/>
        <rFont val="Arial"/>
        <family val="2"/>
      </rPr>
      <t>10</t>
    </r>
    <r>
      <rPr>
        <sz val="11"/>
        <color theme="1"/>
        <rFont val="Arial"/>
        <family val="2"/>
      </rPr>
      <t xml:space="preserve"> =</t>
    </r>
  </si>
  <si>
    <r>
      <t>c</t>
    </r>
    <r>
      <rPr>
        <vertAlign val="subscript"/>
        <sz val="11"/>
        <color indexed="8"/>
        <rFont val="Arial"/>
        <family val="2"/>
      </rPr>
      <t>11</t>
    </r>
    <r>
      <rPr>
        <sz val="11"/>
        <color theme="1"/>
        <rFont val="Arial"/>
        <family val="2"/>
      </rPr>
      <t xml:space="preserve"> =</t>
    </r>
  </si>
  <si>
    <t>W</t>
  </si>
  <si>
    <r>
      <t>f</t>
    </r>
    <r>
      <rPr>
        <b/>
        <vertAlign val="subscript"/>
        <sz val="10"/>
        <color indexed="8"/>
        <rFont val="Arial"/>
        <family val="2"/>
      </rPr>
      <t>ctr,ls</t>
    </r>
  </si>
  <si>
    <t>All control types</t>
  </si>
  <si>
    <t>Table B.2 — Sample default national table for control factor in equation (2)</t>
  </si>
  <si>
    <t>Boiler type</t>
  </si>
  <si>
    <t>see tabel B.1 or B.2</t>
  </si>
  <si>
    <t>Annex B General part default values and information</t>
  </si>
  <si>
    <r>
      <t>Table B.1 — Default values for control factor f</t>
    </r>
    <r>
      <rPr>
        <b/>
        <vertAlign val="subscript"/>
        <sz val="10"/>
        <color indexed="8"/>
        <rFont val="Arial"/>
        <family val="2"/>
      </rPr>
      <t>ctr,ls</t>
    </r>
    <r>
      <rPr>
        <b/>
        <sz val="10"/>
        <color indexed="8"/>
        <rFont val="Arial"/>
        <family val="2"/>
      </rPr>
      <t xml:space="preserve"> in equation (2)</t>
    </r>
  </si>
  <si>
    <t>chapter</t>
  </si>
  <si>
    <t>equation</t>
  </si>
  <si>
    <t>Table A.1 — Parameters for calculation of generator efficiency and temperature limitation</t>
  </si>
  <si>
    <r>
      <t>Factor c</t>
    </r>
    <r>
      <rPr>
        <b/>
        <vertAlign val="subscript"/>
        <sz val="9"/>
        <color indexed="8"/>
        <rFont val="Arial"/>
        <family val="2"/>
      </rPr>
      <t>1</t>
    </r>
  </si>
  <si>
    <r>
      <t>Factor c</t>
    </r>
    <r>
      <rPr>
        <b/>
        <vertAlign val="subscript"/>
        <sz val="9"/>
        <color indexed="8"/>
        <rFont val="Arial"/>
        <family val="2"/>
      </rPr>
      <t>2</t>
    </r>
  </si>
  <si>
    <r>
      <t>Factor c</t>
    </r>
    <r>
      <rPr>
        <b/>
        <vertAlign val="subscript"/>
        <sz val="9"/>
        <color indexed="8"/>
        <rFont val="Arial"/>
        <family val="2"/>
      </rPr>
      <t>3</t>
    </r>
  </si>
  <si>
    <r>
      <t>Factor c</t>
    </r>
    <r>
      <rPr>
        <b/>
        <vertAlign val="subscript"/>
        <sz val="9"/>
        <color indexed="8"/>
        <rFont val="Arial"/>
        <family val="2"/>
      </rPr>
      <t>4</t>
    </r>
  </si>
  <si>
    <t>Standard boilers:</t>
  </si>
  <si>
    <t xml:space="preserve">Low temperature boilers: </t>
  </si>
  <si>
    <r>
      <t>a</t>
    </r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If standard values for "condensing boilers improved" are used for the calculation, the product value for the boiler installed must exhibit the above given efficiency.  </t>
    </r>
  </si>
  <si>
    <t>b  For condensing boilers according to directive 92/42/EEC testing applies at a return path temperature of 30°C.</t>
  </si>
  <si>
    <t>Table A.2 — Parameters for calculation of boiler efficiency and temperature limitation</t>
  </si>
  <si>
    <t>based on EN 303-5</t>
  </si>
  <si>
    <r>
      <t>c</t>
    </r>
    <r>
      <rPr>
        <b/>
        <vertAlign val="subscript"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</si>
  <si>
    <r>
      <t>c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</t>
    </r>
  </si>
  <si>
    <r>
      <t>c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</t>
    </r>
  </si>
  <si>
    <r>
      <t>c</t>
    </r>
    <r>
      <rPr>
        <b/>
        <vertAlign val="subscript"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</t>
    </r>
  </si>
  <si>
    <r>
      <t>DJ</t>
    </r>
    <r>
      <rPr>
        <b/>
        <vertAlign val="subscript"/>
        <sz val="10"/>
        <color indexed="10"/>
        <rFont val="Arial"/>
        <family val="2"/>
      </rPr>
      <t>gen,test,Pn</t>
    </r>
  </si>
  <si>
    <t>Class 1</t>
  </si>
  <si>
    <t>Class 2</t>
  </si>
  <si>
    <t>Class 3</t>
  </si>
  <si>
    <t>Table A.2 — Parameters for calculation of stand-by heat losses</t>
  </si>
  <si>
    <r>
      <t>Factor c</t>
    </r>
    <r>
      <rPr>
        <vertAlign val="subscript"/>
        <sz val="10"/>
        <color indexed="8"/>
        <rFont val="Arial"/>
        <family val="2"/>
      </rPr>
      <t>5</t>
    </r>
  </si>
  <si>
    <r>
      <t>Factor c</t>
    </r>
    <r>
      <rPr>
        <vertAlign val="subscript"/>
        <sz val="10"/>
        <color indexed="8"/>
        <rFont val="Arial"/>
        <family val="2"/>
      </rPr>
      <t>6</t>
    </r>
  </si>
  <si>
    <r>
      <rPr>
        <sz val="8"/>
        <color indexed="8"/>
        <rFont val="Arial"/>
        <family val="2"/>
      </rPr>
      <t>c DL: Boiler with integrated domestic water heating working on the  instantaneous  principle with heat exchanger</t>
    </r>
    <r>
      <rPr>
        <sz val="8"/>
        <color indexed="8"/>
        <rFont val="Times New Roman"/>
        <family val="1"/>
      </rPr>
      <t xml:space="preserve"> (</t>
    </r>
    <r>
      <rPr>
        <i/>
        <sz val="8"/>
        <color indexed="8"/>
        <rFont val="Times New Roman"/>
        <family val="1"/>
      </rPr>
      <t>V</t>
    </r>
    <r>
      <rPr>
        <sz val="8"/>
        <color indexed="8"/>
        <rFont val="Times New Roman"/>
        <family val="1"/>
      </rPr>
      <t xml:space="preserve"> &lt; 2 l).</t>
    </r>
  </si>
  <si>
    <r>
      <rPr>
        <sz val="8"/>
        <color indexed="8"/>
        <rFont val="Arial"/>
        <family val="2"/>
      </rPr>
      <t>d KSp: Boiler with integrated domestic water heating working on the istantaneous  principle with small storage tank</t>
    </r>
    <r>
      <rPr>
        <sz val="8"/>
        <color indexed="8"/>
        <rFont val="Times New Roman"/>
        <family val="1"/>
      </rPr>
      <t xml:space="preserve"> (2 &lt; </t>
    </r>
    <r>
      <rPr>
        <i/>
        <sz val="8"/>
        <color indexed="8"/>
        <rFont val="Times New Roman"/>
        <family val="1"/>
      </rPr>
      <t>V</t>
    </r>
    <r>
      <rPr>
        <sz val="8"/>
        <color indexed="8"/>
        <rFont val="Times New Roman"/>
        <family val="1"/>
      </rPr>
      <t xml:space="preserve"> &lt; 10 l).</t>
    </r>
  </si>
  <si>
    <t>Table A.5 — Parameters for calculation of power consumption of auxiliary equipment</t>
  </si>
  <si>
    <r>
      <t>c</t>
    </r>
    <r>
      <rPr>
        <b/>
        <i/>
        <vertAlign val="subscript"/>
        <sz val="9"/>
        <color indexed="8"/>
        <rFont val="Times New Roman"/>
        <family val="1"/>
      </rPr>
      <t>7</t>
    </r>
  </si>
  <si>
    <r>
      <t>c</t>
    </r>
    <r>
      <rPr>
        <b/>
        <i/>
        <vertAlign val="subscript"/>
        <sz val="9"/>
        <color indexed="8"/>
        <rFont val="Times New Roman"/>
        <family val="1"/>
      </rPr>
      <t>8</t>
    </r>
  </si>
  <si>
    <t>n</t>
  </si>
  <si>
    <r>
      <t>P</t>
    </r>
    <r>
      <rPr>
        <vertAlign val="subscript"/>
        <sz val="11"/>
        <color indexed="8"/>
        <rFont val="Arial"/>
        <family val="2"/>
      </rPr>
      <t>n</t>
    </r>
  </si>
  <si>
    <r>
      <t>P</t>
    </r>
    <r>
      <rPr>
        <vertAlign val="subscript"/>
        <sz val="11"/>
        <color indexed="8"/>
        <rFont val="Arial"/>
        <family val="2"/>
      </rPr>
      <t>int</t>
    </r>
  </si>
  <si>
    <r>
      <t>P</t>
    </r>
    <r>
      <rPr>
        <vertAlign val="subscript"/>
        <sz val="11"/>
        <color indexed="8"/>
        <rFont val="Arial"/>
        <family val="2"/>
      </rPr>
      <t>0</t>
    </r>
  </si>
  <si>
    <r>
      <t xml:space="preserve">e </t>
    </r>
    <r>
      <rPr>
        <sz val="9"/>
        <color indexed="8"/>
        <rFont val="Arial"/>
        <family val="2"/>
      </rPr>
      <t xml:space="preserve">If there is a forced draught ventilator assisting the burner than the values </t>
    </r>
    <r>
      <rPr>
        <i/>
        <sz val="9"/>
        <color indexed="8"/>
        <rFont val="Arial"/>
        <family val="2"/>
      </rPr>
      <t xml:space="preserve"> </t>
    </r>
    <r>
      <rPr>
        <i/>
        <sz val="9"/>
        <color indexed="8"/>
        <rFont val="Times New Roman"/>
        <family val="1"/>
      </rPr>
      <t>P</t>
    </r>
    <r>
      <rPr>
        <vertAlign val="subscript"/>
        <sz val="9"/>
        <color indexed="8"/>
        <rFont val="Times New Roman"/>
        <family val="1"/>
      </rPr>
      <t>aux,Pn</t>
    </r>
    <r>
      <rPr>
        <sz val="9"/>
        <color indexed="8"/>
        <rFont val="Arial"/>
        <family val="2"/>
      </rPr>
      <t>;</t>
    </r>
    <r>
      <rPr>
        <i/>
        <sz val="9"/>
        <color indexed="8"/>
        <rFont val="Arial"/>
        <family val="2"/>
      </rPr>
      <t xml:space="preserve"> </t>
    </r>
    <r>
      <rPr>
        <i/>
        <sz val="9"/>
        <color indexed="8"/>
        <rFont val="Times New Roman"/>
        <family val="1"/>
      </rPr>
      <t>P</t>
    </r>
    <r>
      <rPr>
        <vertAlign val="subscript"/>
        <sz val="9"/>
        <color indexed="8"/>
        <rFont val="Times New Roman"/>
        <family val="1"/>
      </rPr>
      <t xml:space="preserve">aux,Pint  </t>
    </r>
    <r>
      <rPr>
        <sz val="9"/>
        <color indexed="8"/>
        <rFont val="Arial"/>
        <family val="2"/>
      </rPr>
      <t>increase by 40 %.</t>
    </r>
  </si>
  <si>
    <r>
      <t>f</t>
    </r>
    <r>
      <rPr>
        <sz val="9"/>
        <color indexed="8"/>
        <rFont val="Arial"/>
        <family val="2"/>
      </rPr>
      <t xml:space="preserve"> If a elctronic controller is used, otherwise </t>
    </r>
    <r>
      <rPr>
        <i/>
        <sz val="9"/>
        <color indexed="8"/>
        <rFont val="Times New Roman"/>
        <family val="1"/>
      </rPr>
      <t>P</t>
    </r>
    <r>
      <rPr>
        <vertAlign val="subscript"/>
        <sz val="9"/>
        <color indexed="8"/>
        <rFont val="Times New Roman"/>
        <family val="1"/>
      </rPr>
      <t xml:space="preserve">aux,P0 </t>
    </r>
    <r>
      <rPr>
        <sz val="9"/>
        <color indexed="8"/>
        <rFont val="Times New Roman"/>
        <family val="1"/>
      </rPr>
      <t>= 0.</t>
    </r>
  </si>
  <si>
    <r>
      <t>P</t>
    </r>
    <r>
      <rPr>
        <vertAlign val="subscript"/>
        <sz val="11"/>
        <color indexed="8"/>
        <rFont val="Arial"/>
        <family val="2"/>
      </rPr>
      <t>aux,Pn</t>
    </r>
    <r>
      <rPr>
        <sz val="11"/>
        <color theme="1"/>
        <rFont val="Arial"/>
        <family val="2"/>
      </rPr>
      <t>=(c</t>
    </r>
    <r>
      <rPr>
        <vertAlign val="subscript"/>
        <sz val="11"/>
        <color indexed="8"/>
        <rFont val="Arial"/>
        <family val="2"/>
      </rPr>
      <t>7</t>
    </r>
    <r>
      <rPr>
        <sz val="11"/>
        <color theme="1"/>
        <rFont val="Arial"/>
        <family val="2"/>
      </rPr>
      <t>+c</t>
    </r>
    <r>
      <rPr>
        <vertAlign val="subscript"/>
        <sz val="11"/>
        <color indexed="8"/>
        <rFont val="Arial"/>
        <family val="2"/>
      </rPr>
      <t>8</t>
    </r>
    <r>
      <rPr>
        <sz val="11"/>
        <color theme="1"/>
        <rFont val="Arial"/>
        <family val="2"/>
      </rPr>
      <t xml:space="preserve"> x (P</t>
    </r>
    <r>
      <rPr>
        <vertAlign val="subscript"/>
        <sz val="11"/>
        <color indexed="8"/>
        <rFont val="Arial"/>
        <family val="2"/>
      </rPr>
      <t>n</t>
    </r>
    <r>
      <rPr>
        <sz val="11"/>
        <color theme="1"/>
        <rFont val="Arial"/>
        <family val="2"/>
      </rPr>
      <t>)</t>
    </r>
    <r>
      <rPr>
        <vertAlign val="superscript"/>
        <sz val="11"/>
        <color indexed="8"/>
        <rFont val="Arial"/>
        <family val="2"/>
      </rPr>
      <t>n</t>
    </r>
    <r>
      <rPr>
        <sz val="11"/>
        <color theme="1"/>
        <rFont val="Arial"/>
        <family val="2"/>
      </rPr>
      <t>/1000</t>
    </r>
  </si>
  <si>
    <r>
      <t>P</t>
    </r>
    <r>
      <rPr>
        <vertAlign val="subscript"/>
        <sz val="11"/>
        <color indexed="8"/>
        <rFont val="Arial"/>
        <family val="2"/>
      </rPr>
      <t>n</t>
    </r>
    <r>
      <rPr>
        <sz val="11"/>
        <color theme="1"/>
        <rFont val="Arial"/>
        <family val="2"/>
      </rPr>
      <t xml:space="preserve"> =</t>
    </r>
  </si>
  <si>
    <r>
      <t>f</t>
    </r>
    <r>
      <rPr>
        <vertAlign val="subscript"/>
        <sz val="11"/>
        <color indexed="8"/>
        <rFont val="Arial"/>
        <family val="2"/>
      </rPr>
      <t>corr,Pn</t>
    </r>
    <r>
      <rPr>
        <sz val="11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</si>
  <si>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 xml:space="preserve">gen,test,Pn </t>
    </r>
    <r>
      <rPr>
        <sz val="11"/>
        <color indexed="8"/>
        <rFont val="Arial"/>
        <family val="2"/>
      </rPr>
      <t>=</t>
    </r>
  </si>
  <si>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 xml:space="preserve">HC,m </t>
    </r>
    <r>
      <rPr>
        <sz val="11"/>
        <color indexed="8"/>
        <rFont val="Arial"/>
        <family val="2"/>
      </rPr>
      <t>=</t>
    </r>
  </si>
  <si>
    <r>
      <t>f</t>
    </r>
    <r>
      <rPr>
        <b/>
        <vertAlign val="subscript"/>
        <sz val="10"/>
        <color indexed="8"/>
        <rFont val="Arial"/>
        <family val="2"/>
      </rPr>
      <t>corr,Pn</t>
    </r>
  </si>
  <si>
    <r>
      <t>f</t>
    </r>
    <r>
      <rPr>
        <b/>
        <vertAlign val="subscript"/>
        <sz val="10"/>
        <color indexed="8"/>
        <rFont val="Arial"/>
        <family val="2"/>
      </rPr>
      <t>corr,Pint</t>
    </r>
  </si>
  <si>
    <t>see tabel</t>
  </si>
  <si>
    <t>see input</t>
  </si>
  <si>
    <r>
      <t>f</t>
    </r>
    <r>
      <rPr>
        <vertAlign val="subscript"/>
        <sz val="11"/>
        <color indexed="8"/>
        <rFont val="Arial"/>
        <family val="2"/>
      </rPr>
      <t>Hs/Hi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=</t>
    </r>
  </si>
  <si>
    <t>Table A.8 — Conversion factors, as a function of energy carriers</t>
  </si>
  <si>
    <r>
      <t>f</t>
    </r>
    <r>
      <rPr>
        <vertAlign val="subscript"/>
        <sz val="11"/>
        <color indexed="8"/>
        <rFont val="Arial"/>
        <family val="2"/>
      </rPr>
      <t>corr,Pint</t>
    </r>
    <r>
      <rPr>
        <sz val="11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</si>
  <si>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 xml:space="preserve">gen,test,Pint </t>
    </r>
    <r>
      <rPr>
        <sz val="11"/>
        <color indexed="8"/>
        <rFont val="Arial"/>
        <family val="2"/>
      </rPr>
      <t>=</t>
    </r>
  </si>
  <si>
    <t>b</t>
  </si>
  <si>
    <t>f</t>
  </si>
  <si>
    <r>
      <t>P</t>
    </r>
    <r>
      <rPr>
        <vertAlign val="subscript"/>
        <sz val="11"/>
        <color indexed="8"/>
        <rFont val="Arial"/>
        <family val="2"/>
      </rPr>
      <t>int</t>
    </r>
    <r>
      <rPr>
        <sz val="11"/>
        <color theme="1"/>
        <rFont val="Arial"/>
        <family val="2"/>
      </rPr>
      <t xml:space="preserve"> =</t>
    </r>
  </si>
  <si>
    <t xml:space="preserve">see calculation 4. </t>
  </si>
  <si>
    <t>see calculation 4. + input</t>
  </si>
  <si>
    <r>
      <t>f</t>
    </r>
    <r>
      <rPr>
        <vertAlign val="subscript"/>
        <sz val="11"/>
        <color indexed="8"/>
        <rFont val="Arial"/>
        <family val="2"/>
      </rPr>
      <t>gen,ls,P0</t>
    </r>
    <r>
      <rPr>
        <sz val="11"/>
        <color theme="1"/>
        <rFont val="Arial"/>
        <family val="2"/>
      </rPr>
      <t xml:space="preserve"> =</t>
    </r>
  </si>
  <si>
    <t>Table A.7 — Temperature reduction factor and default installation room temperature</t>
  </si>
  <si>
    <t>Generator location</t>
  </si>
  <si>
    <r>
      <t>Temperature reduction factor f</t>
    </r>
    <r>
      <rPr>
        <b/>
        <vertAlign val="subscript"/>
        <sz val="9"/>
        <color indexed="8"/>
        <rFont val="Arial"/>
        <family val="2"/>
      </rPr>
      <t>brm</t>
    </r>
  </si>
  <si>
    <r>
      <t xml:space="preserve">Installation room temperature </t>
    </r>
    <r>
      <rPr>
        <b/>
        <i/>
        <sz val="9"/>
        <color indexed="8"/>
        <rFont val="Symbol"/>
        <family val="1"/>
      </rPr>
      <t>J</t>
    </r>
    <r>
      <rPr>
        <b/>
        <vertAlign val="subscript"/>
        <sz val="9"/>
        <color indexed="8"/>
        <rFont val="Arial"/>
        <family val="2"/>
      </rPr>
      <t>i,brm</t>
    </r>
  </si>
  <si>
    <t>Outdoors</t>
  </si>
  <si>
    <t>In the boiler room</t>
  </si>
  <si>
    <t>Under roof</t>
  </si>
  <si>
    <t>Inside heated space</t>
  </si>
  <si>
    <t>copy out of tabel A.7</t>
  </si>
  <si>
    <r>
      <t>J</t>
    </r>
    <r>
      <rPr>
        <b/>
        <vertAlign val="subscript"/>
        <sz val="10"/>
        <color indexed="8"/>
        <rFont val="Arial"/>
        <family val="2"/>
      </rPr>
      <t>gen,test,P0</t>
    </r>
  </si>
  <si>
    <r>
      <t>J</t>
    </r>
    <r>
      <rPr>
        <b/>
        <vertAlign val="subscript"/>
        <sz val="10"/>
        <color indexed="8"/>
        <rFont val="Arial"/>
        <family val="2"/>
      </rPr>
      <t>gen,test,Pint</t>
    </r>
  </si>
  <si>
    <r>
      <t>J</t>
    </r>
    <r>
      <rPr>
        <b/>
        <vertAlign val="subscript"/>
        <sz val="10"/>
        <color indexed="8"/>
        <rFont val="Arial"/>
        <family val="2"/>
      </rPr>
      <t>gen,test,Pn</t>
    </r>
  </si>
  <si>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 xml:space="preserve">gen,test,P0 </t>
    </r>
    <r>
      <rPr>
        <sz val="11"/>
        <color indexed="8"/>
        <rFont val="Arial"/>
        <family val="2"/>
      </rPr>
      <t>=</t>
    </r>
  </si>
  <si>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 xml:space="preserve">i,brm </t>
    </r>
    <r>
      <rPr>
        <sz val="11"/>
        <color indexed="8"/>
        <rFont val="Arial"/>
        <family val="2"/>
      </rPr>
      <t>=</t>
    </r>
  </si>
  <si>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 xml:space="preserve">H,gen </t>
    </r>
    <r>
      <rPr>
        <sz val="11"/>
        <color theme="1"/>
        <rFont val="Arial"/>
        <family val="2"/>
      </rPr>
      <t>=</t>
    </r>
  </si>
  <si>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</si>
  <si>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Pn</t>
    </r>
    <r>
      <rPr>
        <sz val="11"/>
        <color theme="1"/>
        <rFont val="Arial"/>
        <family val="2"/>
      </rPr>
      <t xml:space="preserve"> =</t>
    </r>
  </si>
  <si>
    <r>
      <t>P</t>
    </r>
    <r>
      <rPr>
        <vertAlign val="subscript"/>
        <sz val="11"/>
        <color indexed="8"/>
        <rFont val="Arial"/>
        <family val="2"/>
      </rPr>
      <t xml:space="preserve">aux,Px </t>
    </r>
    <r>
      <rPr>
        <sz val="11"/>
        <color theme="1"/>
        <rFont val="Arial"/>
        <family val="2"/>
      </rPr>
      <t>=</t>
    </r>
    <r>
      <rPr>
        <sz val="11"/>
        <color indexed="8"/>
        <rFont val="Symbol"/>
        <family val="1"/>
      </rPr>
      <t xml:space="preserve"> </t>
    </r>
  </si>
  <si>
    <r>
      <t>P</t>
    </r>
    <r>
      <rPr>
        <vertAlign val="subscript"/>
        <sz val="11"/>
        <color indexed="8"/>
        <rFont val="Arial"/>
        <family val="2"/>
      </rPr>
      <t xml:space="preserve">aux,Pn </t>
    </r>
    <r>
      <rPr>
        <sz val="11"/>
        <color theme="1"/>
        <rFont val="Arial"/>
        <family val="2"/>
      </rPr>
      <t>=</t>
    </r>
  </si>
  <si>
    <r>
      <t>P</t>
    </r>
    <r>
      <rPr>
        <vertAlign val="subscript"/>
        <sz val="11"/>
        <color indexed="8"/>
        <rFont val="Arial"/>
        <family val="2"/>
      </rPr>
      <t xml:space="preserve">aux,Pint </t>
    </r>
    <r>
      <rPr>
        <sz val="11"/>
        <color theme="1"/>
        <rFont val="Arial"/>
        <family val="2"/>
      </rPr>
      <t>=</t>
    </r>
  </si>
  <si>
    <r>
      <t>P</t>
    </r>
    <r>
      <rPr>
        <vertAlign val="subscript"/>
        <sz val="11"/>
        <color indexed="8"/>
        <rFont val="Arial"/>
        <family val="2"/>
      </rPr>
      <t xml:space="preserve">aux,P0 </t>
    </r>
    <r>
      <rPr>
        <sz val="11"/>
        <color theme="1"/>
        <rFont val="Arial"/>
        <family val="2"/>
      </rPr>
      <t>=</t>
    </r>
  </si>
  <si>
    <r>
      <t>f</t>
    </r>
    <r>
      <rPr>
        <vertAlign val="subscript"/>
        <sz val="11"/>
        <color indexed="8"/>
        <rFont val="Arial"/>
        <family val="2"/>
      </rPr>
      <t>rvd,aux</t>
    </r>
    <r>
      <rPr>
        <sz val="11"/>
        <color theme="1"/>
        <rFont val="Arial"/>
        <family val="2"/>
      </rPr>
      <t xml:space="preserve"> =</t>
    </r>
  </si>
  <si>
    <r>
      <t>f</t>
    </r>
    <r>
      <rPr>
        <vertAlign val="subscript"/>
        <sz val="11"/>
        <color indexed="8"/>
        <rFont val="Arial"/>
        <family val="2"/>
      </rPr>
      <t>rbl,aux</t>
    </r>
    <r>
      <rPr>
        <sz val="11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</si>
  <si>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gen,Pint</t>
    </r>
    <r>
      <rPr>
        <sz val="11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</si>
  <si>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gen,Pn</t>
    </r>
    <r>
      <rPr>
        <sz val="11"/>
        <color theme="1"/>
        <rFont val="Arial"/>
        <family val="2"/>
      </rPr>
      <t xml:space="preserve"> =</t>
    </r>
  </si>
  <si>
    <r>
      <t>f</t>
    </r>
    <r>
      <rPr>
        <vertAlign val="subscript"/>
        <sz val="11"/>
        <color indexed="8"/>
        <rFont val="Arial"/>
        <family val="2"/>
      </rPr>
      <t>brm</t>
    </r>
    <r>
      <rPr>
        <sz val="11"/>
        <color theme="1"/>
        <rFont val="Arial"/>
        <family val="2"/>
      </rPr>
      <t xml:space="preserve"> =</t>
    </r>
  </si>
  <si>
    <r>
      <t>f</t>
    </r>
    <r>
      <rPr>
        <vertAlign val="subscript"/>
        <sz val="11"/>
        <color indexed="8"/>
        <rFont val="Arial"/>
        <family val="2"/>
      </rPr>
      <t>env</t>
    </r>
    <r>
      <rPr>
        <sz val="11"/>
        <color theme="1"/>
        <rFont val="Arial"/>
        <family val="2"/>
      </rPr>
      <t xml:space="preserve"> =</t>
    </r>
  </si>
  <si>
    <r>
      <t>f</t>
    </r>
    <r>
      <rPr>
        <b/>
        <vertAlign val="subscript"/>
        <sz val="9"/>
        <color indexed="8"/>
        <rFont val="Arial"/>
        <family val="2"/>
      </rPr>
      <t>env</t>
    </r>
  </si>
  <si>
    <t>see calculation 5.</t>
  </si>
  <si>
    <t>heat input to the heating distribution</t>
  </si>
  <si>
    <t>Table 3 - Input quantities</t>
  </si>
  <si>
    <t>see calculation 4.</t>
  </si>
  <si>
    <r>
      <t>(measured 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</si>
  <si>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Indexchange:</t>
  </si>
  <si>
    <t>see measurement</t>
  </si>
  <si>
    <t>see condensation</t>
  </si>
  <si>
    <t>see Annex A.1.5.1</t>
  </si>
  <si>
    <t>see Annex A.1.5.2</t>
  </si>
  <si>
    <t>Table A.3</t>
  </si>
  <si>
    <t>Table A.4</t>
  </si>
  <si>
    <t>Table A.6</t>
  </si>
  <si>
    <t>Table A.2</t>
  </si>
  <si>
    <t>Table A.1</t>
  </si>
  <si>
    <t>copy out of tabel A.1 + A.2 + A.5 + A.6</t>
  </si>
  <si>
    <t>copy out of table  A.9</t>
  </si>
  <si>
    <t>flue gas measurement</t>
  </si>
  <si>
    <t>copy out of table  A.11</t>
  </si>
  <si>
    <t>copy out of table  A.12</t>
  </si>
  <si>
    <r>
      <t>ratio of gross calorific value to net calorific value H</t>
    </r>
    <r>
      <rPr>
        <vertAlign val="subscript"/>
        <sz val="11"/>
        <color indexed="8"/>
        <rFont val="Arial"/>
        <family val="2"/>
      </rPr>
      <t>s</t>
    </r>
    <r>
      <rPr>
        <sz val="11"/>
        <color theme="1"/>
        <rFont val="Arial"/>
        <family val="2"/>
      </rPr>
      <t>/H</t>
    </r>
    <r>
      <rPr>
        <vertAlign val="subscript"/>
        <sz val="11"/>
        <color indexed="8"/>
        <rFont val="Arial"/>
        <family val="2"/>
      </rPr>
      <t>i</t>
    </r>
  </si>
  <si>
    <r>
      <t>(conversion factor for delivered energy)                  f</t>
    </r>
    <r>
      <rPr>
        <vertAlign val="subscript"/>
        <sz val="11"/>
        <color indexed="8"/>
        <rFont val="Arial"/>
        <family val="2"/>
      </rPr>
      <t>Hs/Hi</t>
    </r>
  </si>
  <si>
    <t>Energy carrier</t>
  </si>
  <si>
    <t>Fuel oil</t>
  </si>
  <si>
    <t>Liquid petroleum gas</t>
  </si>
  <si>
    <t>Anthracite coal</t>
  </si>
  <si>
    <t>Wood</t>
  </si>
  <si>
    <t>Fossil fuels</t>
  </si>
  <si>
    <t>Renewable fuels</t>
  </si>
  <si>
    <t>Electrical power source mix</t>
  </si>
  <si>
    <t>Electricity</t>
  </si>
  <si>
    <t>Area/district heating by heating power plants</t>
  </si>
  <si>
    <r>
      <t>Area/district heating by CHP</t>
    </r>
    <r>
      <rPr>
        <vertAlign val="superscript"/>
        <sz val="11"/>
        <color indexed="8"/>
        <rFont val="Arial"/>
        <family val="2"/>
      </rPr>
      <t>a</t>
    </r>
  </si>
  <si>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These values are typical for average area heating/district heating systems with a 70% contibution by CHP plants</t>
    </r>
  </si>
  <si>
    <t>Fuels</t>
  </si>
  <si>
    <t>Lignit coal</t>
  </si>
  <si>
    <t>copy out of table 8</t>
  </si>
  <si>
    <t>see measurement or table A.12</t>
  </si>
  <si>
    <t>see Annex table A.10</t>
  </si>
  <si>
    <t>foodnote</t>
  </si>
  <si>
    <t>ISO/NP 13675</t>
  </si>
  <si>
    <t>input of data for intended calculation</t>
  </si>
  <si>
    <t>The following colours have the described senses</t>
  </si>
  <si>
    <t>calculation</t>
  </si>
  <si>
    <t>result for output</t>
  </si>
  <si>
    <t>note</t>
  </si>
  <si>
    <t>Condensing boiler  - 1978 - 1994</t>
  </si>
  <si>
    <t>Condensing boiler  - before 1987</t>
  </si>
  <si>
    <t>Condensing boiler  - after 1994</t>
  </si>
  <si>
    <t>standard boiler: Multi-fuel boiler - before1978</t>
  </si>
  <si>
    <t>standard boiler: Multi-fuel boiler - 1978 - 1987</t>
  </si>
  <si>
    <t>standard boiler: atmospheric gas boiler up to 250 kW - before1978</t>
  </si>
  <si>
    <t>standard boiler: atmospheric gas boiler up to 250 kW   - 1978 - 1994</t>
  </si>
  <si>
    <t>standard boiler: atmospheric gas boiler up to 250 kW  - after 1994</t>
  </si>
  <si>
    <t>standard boiler: atmospheric gas boiler more than 250 kW   - 1978 - 1994</t>
  </si>
  <si>
    <t>standard boiler: atmospheric gas boiler more than 250 kW  - after 1994</t>
  </si>
  <si>
    <r>
      <t>standard boiler: Fan-assisted boiler (fossil and biomass fuel)</t>
    </r>
    <r>
      <rPr>
        <vertAlign val="superscript"/>
        <sz val="9"/>
        <color indexed="8"/>
        <rFont val="Arial"/>
        <family val="2"/>
      </rPr>
      <t xml:space="preserve">e </t>
    </r>
    <r>
      <rPr>
        <sz val="9"/>
        <color indexed="8"/>
        <rFont val="Arial"/>
        <family val="2"/>
      </rPr>
      <t>- before1978</t>
    </r>
  </si>
  <si>
    <r>
      <t>standard boiler: Fan-assisted boiler (fossil and biomass fuel)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- 1978 - 1986</t>
    </r>
  </si>
  <si>
    <r>
      <t>standard boiler: Fan-assisted boiler (fossil and biomass fuel)</t>
    </r>
    <r>
      <rPr>
        <vertAlign val="superscript"/>
        <sz val="9"/>
        <color indexed="8"/>
        <rFont val="Arial"/>
        <family val="2"/>
      </rPr>
      <t xml:space="preserve">e </t>
    </r>
    <r>
      <rPr>
        <sz val="9"/>
        <color indexed="8"/>
        <rFont val="Arial"/>
        <family val="2"/>
      </rPr>
      <t xml:space="preserve"> - 1978 - 1994</t>
    </r>
  </si>
  <si>
    <r>
      <t>standard boiler: Fan-assisted boiler (fossil and biomass fuel)</t>
    </r>
    <r>
      <rPr>
        <vertAlign val="superscript"/>
        <sz val="9"/>
        <color indexed="8"/>
        <rFont val="Arial"/>
        <family val="2"/>
      </rPr>
      <t xml:space="preserve">e </t>
    </r>
    <r>
      <rPr>
        <sz val="9"/>
        <color indexed="8"/>
        <rFont val="Arial"/>
        <family val="2"/>
      </rPr>
      <t xml:space="preserve"> - after 1994</t>
    </r>
  </si>
  <si>
    <r>
      <t>standard boiler: automaticaly-fed pellet central boiler</t>
    </r>
    <r>
      <rPr>
        <vertAlign val="superscript"/>
        <sz val="9"/>
        <color indexed="8"/>
        <rFont val="Arial"/>
        <family val="2"/>
      </rPr>
      <t xml:space="preserve"> e</t>
    </r>
    <r>
      <rPr>
        <sz val="9"/>
        <color indexed="8"/>
        <rFont val="Arial"/>
        <family val="2"/>
      </rPr>
      <t>, system with buffer tank  - after 1994</t>
    </r>
  </si>
  <si>
    <r>
      <t xml:space="preserve">standard boiler: automaticaly-fed wood chips central boiler 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>, system with buffer tank  - after 1994</t>
    </r>
  </si>
  <si>
    <t>standard boiler: Burner replacement (only fan-assisted boilers) - before1978</t>
  </si>
  <si>
    <t>standard boiler: Burner replacement (only fan-assisted boilers)  - 1978 - 1994</t>
  </si>
  <si>
    <t>low temperature boiler: atmospheric gas boiler up to 250 kW  - 1978 - 1994</t>
  </si>
  <si>
    <t>low temperature boiler: atmospheric gas boiler up to 250 kW  - after 1994</t>
  </si>
  <si>
    <t>low temperature boiler: atmospheric gas boiler more than 250 kW  - 1978 - 1994</t>
  </si>
  <si>
    <t>low temperature boiler: atmospheric gas boiler more than 250 kW  - after 1994</t>
  </si>
  <si>
    <t>low temperature boiler: Circulation water heater (11 kW 18 kW and 24 kW) - before1978</t>
  </si>
  <si>
    <t>low temperature boiler: Circulation water heater (11 kW 18 kW and 24 kW)   - 1978 - 1994</t>
  </si>
  <si>
    <r>
      <t>low temperature boiler: Combination boilers KSp</t>
    </r>
    <r>
      <rPr>
        <vertAlign val="superscript"/>
        <sz val="10"/>
        <color indexed="8"/>
        <rFont val="Arial"/>
        <family val="2"/>
      </rPr>
      <t xml:space="preserve">d </t>
    </r>
    <r>
      <rPr>
        <sz val="10"/>
        <color indexed="8"/>
        <rFont val="Arial"/>
        <family val="2"/>
      </rPr>
      <t xml:space="preserve"> - after 1994</t>
    </r>
  </si>
  <si>
    <r>
      <t>low temperature boiler: Combination boilers DL</t>
    </r>
    <r>
      <rPr>
        <vertAlign val="superscript"/>
        <sz val="10"/>
        <color indexed="8"/>
        <rFont val="Arial"/>
        <family val="2"/>
      </rPr>
      <t xml:space="preserve">c </t>
    </r>
    <r>
      <rPr>
        <sz val="10"/>
        <color indexed="8"/>
        <rFont val="Arial"/>
        <family val="2"/>
      </rPr>
      <t xml:space="preserve"> - after 1994</t>
    </r>
  </si>
  <si>
    <t>low temperature boiler: Burner replacement (only fan-assisted boilers)  - before1978</t>
  </si>
  <si>
    <t>low temperature boiler: Burner replacement (only fan-assisted boilers)  - 1978 - 1994</t>
  </si>
  <si>
    <r>
      <t>low temperature boiler: Fan-assisted boiler (fossil fuel)</t>
    </r>
    <r>
      <rPr>
        <vertAlign val="superscript"/>
        <sz val="9"/>
        <color indexed="8"/>
        <rFont val="Arial"/>
        <family val="2"/>
      </rPr>
      <t xml:space="preserve">e  </t>
    </r>
    <r>
      <rPr>
        <sz val="9"/>
        <color indexed="8"/>
        <rFont val="Arial"/>
        <family val="2"/>
      </rPr>
      <t>- before1978</t>
    </r>
  </si>
  <si>
    <r>
      <t>low temperature boiler: Fan-assisted boiler (fossil  fuel)</t>
    </r>
    <r>
      <rPr>
        <vertAlign val="superscript"/>
        <sz val="9"/>
        <color indexed="8"/>
        <rFont val="Arial"/>
        <family val="2"/>
      </rPr>
      <t xml:space="preserve">e </t>
    </r>
    <r>
      <rPr>
        <sz val="9"/>
        <color indexed="8"/>
        <rFont val="Arial"/>
        <family val="2"/>
      </rPr>
      <t xml:space="preserve"> - 1978 - 1994</t>
    </r>
  </si>
  <si>
    <r>
      <t>low temperature boiler: Fan-assisted boiler (fossil fuel)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 - after 1994</t>
    </r>
  </si>
  <si>
    <t>fixing of equippment and parameters</t>
  </si>
  <si>
    <t>natural gas</t>
  </si>
  <si>
    <t>fuel oil</t>
  </si>
  <si>
    <t>heavy oil</t>
  </si>
  <si>
    <t>city gas</t>
  </si>
  <si>
    <t>fuel</t>
  </si>
  <si>
    <t>Floor standing boiler - Outdoor temperature controlled</t>
  </si>
  <si>
    <t>Wall hanged boiler - Outdoor temperature controlled</t>
  </si>
  <si>
    <t>Wall hanged boiler - Room temperature controlled</t>
  </si>
  <si>
    <t>Boiler/contoler type</t>
  </si>
  <si>
    <t>see input: heat load calculation</t>
  </si>
  <si>
    <t>liquid gas (Propan)</t>
  </si>
  <si>
    <r>
      <t>(conversion factor for delivered energy)                  f</t>
    </r>
    <r>
      <rPr>
        <vertAlign val="subscript"/>
        <sz val="8"/>
        <color indexed="8"/>
        <rFont val="Arial"/>
        <family val="2"/>
      </rPr>
      <t>Hs/Hi</t>
    </r>
  </si>
  <si>
    <t>choos parameters</t>
  </si>
  <si>
    <t>Parameters for measurement, if intended</t>
  </si>
  <si>
    <t>measured</t>
  </si>
  <si>
    <t>designed</t>
  </si>
  <si>
    <t>calculation way: starting with measured values or by designing:</t>
  </si>
  <si>
    <t>to decide</t>
  </si>
  <si>
    <t>no heat load calculation - new building</t>
  </si>
  <si>
    <t>no heat load calculation - existing building</t>
  </si>
  <si>
    <t>out of measurement</t>
  </si>
  <si>
    <r>
      <t>choosen P</t>
    </r>
    <r>
      <rPr>
        <vertAlign val="subscript"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 = </t>
    </r>
  </si>
  <si>
    <r>
      <t>designd power P</t>
    </r>
    <r>
      <rPr>
        <vertAlign val="subscript"/>
        <sz val="11"/>
        <color indexed="8"/>
        <rFont val="Arial"/>
        <family val="2"/>
      </rPr>
      <t>n</t>
    </r>
    <r>
      <rPr>
        <sz val="11"/>
        <color theme="1"/>
        <rFont val="Arial"/>
        <family val="2"/>
      </rPr>
      <t xml:space="preserve"> = </t>
    </r>
  </si>
  <si>
    <t>heat load definition, if designed</t>
  </si>
  <si>
    <t>Inpu-/output calculation:</t>
  </si>
  <si>
    <t>for measurment calculation there are some parameters not available at the moment, so the calculation does not work in these cases.</t>
  </si>
  <si>
    <t>standard boiler: solid fuel boiler (fossil and biomass fuel) - after 1994</t>
  </si>
  <si>
    <t>standard boiler: solid fuel boiler (fossil and biomass fuel) - before1978</t>
  </si>
  <si>
    <t>standard boiler: solid fuel boiler (fossil and biomass fuel)  - 1978 - 1994</t>
  </si>
  <si>
    <t>standard boiler: atmospheric gas boiler more than 250 kW - before1978</t>
  </si>
  <si>
    <t>you have to input data and choos parameters</t>
  </si>
  <si>
    <t>for information</t>
  </si>
  <si>
    <r>
      <t>Condensing boiler (oil/gas)</t>
    </r>
    <r>
      <rPr>
        <b/>
        <vertAlign val="superscript"/>
        <sz val="9"/>
        <color indexed="8"/>
        <rFont val="Arial"/>
        <family val="2"/>
      </rPr>
      <t>a</t>
    </r>
  </si>
  <si>
    <r>
      <t>Gas-Condensing boiler, improved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- from1994</t>
    </r>
  </si>
  <si>
    <r>
      <t>Oil-Condensing boiler, improved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- from 1994</t>
    </r>
  </si>
  <si>
    <t>transfered datas from other pages or tables</t>
  </si>
  <si>
    <t>Gas-Condensing boiler, improved  - from1994</t>
  </si>
  <si>
    <r>
      <t>Q</t>
    </r>
    <r>
      <rPr>
        <vertAlign val="subscript"/>
        <sz val="10"/>
        <color indexed="8"/>
        <rFont val="Times New Roman"/>
        <family val="1"/>
      </rPr>
      <t>H;dis;in</t>
    </r>
  </si>
  <si>
    <r>
      <t>b</t>
    </r>
    <r>
      <rPr>
        <vertAlign val="subscript"/>
        <sz val="10"/>
        <color indexed="8"/>
        <rFont val="Arial"/>
        <family val="2"/>
      </rPr>
      <t>H;gen</t>
    </r>
  </si>
  <si>
    <r>
      <t>J</t>
    </r>
    <r>
      <rPr>
        <vertAlign val="subscript"/>
        <sz val="9"/>
        <color indexed="8"/>
        <rFont val="Arial"/>
        <family val="2"/>
      </rPr>
      <t>e;min</t>
    </r>
  </si>
  <si>
    <r>
      <t>X</t>
    </r>
    <r>
      <rPr>
        <vertAlign val="subscript"/>
        <sz val="11"/>
        <color indexed="8"/>
        <rFont val="Arial"/>
        <family val="2"/>
      </rPr>
      <t>O2;fg;dry</t>
    </r>
  </si>
  <si>
    <r>
      <t>E</t>
    </r>
    <r>
      <rPr>
        <vertAlign val="subscript"/>
        <sz val="10"/>
        <color indexed="8"/>
        <rFont val="Times New Roman"/>
        <family val="1"/>
      </rPr>
      <t>gen;in</t>
    </r>
  </si>
  <si>
    <r>
      <t>f</t>
    </r>
    <r>
      <rPr>
        <vertAlign val="subscript"/>
        <sz val="11"/>
        <color indexed="8"/>
        <rFont val="Arial"/>
        <family val="2"/>
      </rPr>
      <t>ch;on</t>
    </r>
    <r>
      <rPr>
        <sz val="11"/>
        <color theme="1"/>
        <rFont val="Arial"/>
        <family val="2"/>
      </rPr>
      <t xml:space="preserve"> </t>
    </r>
  </si>
  <si>
    <r>
      <t>f</t>
    </r>
    <r>
      <rPr>
        <vertAlign val="subscript"/>
        <sz val="11"/>
        <color indexed="8"/>
        <rFont val="Arial"/>
        <family val="2"/>
      </rPr>
      <t xml:space="preserve">gen;env </t>
    </r>
  </si>
  <si>
    <r>
      <t>f</t>
    </r>
    <r>
      <rPr>
        <vertAlign val="subscript"/>
        <sz val="11"/>
        <color indexed="8"/>
        <rFont val="Arial"/>
        <family val="2"/>
      </rPr>
      <t xml:space="preserve">gen;env </t>
    </r>
    <r>
      <rPr>
        <sz val="11"/>
        <color theme="1"/>
        <rFont val="Arial"/>
        <family val="2"/>
      </rPr>
      <t xml:space="preserve">= </t>
    </r>
    <r>
      <rPr>
        <sz val="11"/>
        <color indexed="8"/>
        <rFont val="Symbol"/>
        <family val="1"/>
      </rPr>
      <t xml:space="preserve">S </t>
    </r>
    <r>
      <rPr>
        <sz val="11"/>
        <color theme="1"/>
        <rFont val="Arial"/>
        <family val="2"/>
      </rPr>
      <t>(A</t>
    </r>
    <r>
      <rPr>
        <vertAlign val="subscript"/>
        <sz val="11"/>
        <color indexed="8"/>
        <rFont val="Arial"/>
        <family val="2"/>
      </rPr>
      <t>pa</t>
    </r>
    <r>
      <rPr>
        <sz val="11"/>
        <color theme="1"/>
        <rFont val="Arial"/>
        <family val="2"/>
      </rPr>
      <t xml:space="preserve"> x </t>
    </r>
    <r>
      <rPr>
        <sz val="11"/>
        <color indexed="8"/>
        <rFont val="Symbol"/>
        <family val="1"/>
      </rPr>
      <t>a</t>
    </r>
    <r>
      <rPr>
        <sz val="11"/>
        <color theme="1"/>
        <rFont val="Arial"/>
        <family val="2"/>
      </rPr>
      <t xml:space="preserve"> x </t>
    </r>
    <r>
      <rPr>
        <sz val="11"/>
        <color indexed="8"/>
        <rFont val="Symbol"/>
        <family val="1"/>
      </rPr>
      <t>D J</t>
    </r>
    <r>
      <rPr>
        <vertAlign val="subscript"/>
        <sz val="11"/>
        <color indexed="8"/>
        <rFont val="Arial"/>
        <family val="2"/>
      </rPr>
      <t>pa</t>
    </r>
    <r>
      <rPr>
        <sz val="11"/>
        <color theme="1"/>
        <rFont val="Arial"/>
        <family val="2"/>
      </rPr>
      <t>) / (1000 x P</t>
    </r>
    <r>
      <rPr>
        <vertAlign val="subscript"/>
        <sz val="11"/>
        <color indexed="8"/>
        <rFont val="Arial"/>
        <family val="2"/>
      </rPr>
      <t>gen;del</t>
    </r>
    <r>
      <rPr>
        <sz val="11"/>
        <color theme="1"/>
        <rFont val="Arial"/>
        <family val="2"/>
      </rPr>
      <t>)</t>
    </r>
  </si>
  <si>
    <r>
      <t>f</t>
    </r>
    <r>
      <rPr>
        <vertAlign val="subscript"/>
        <sz val="11"/>
        <color indexed="8"/>
        <rFont val="Arial"/>
        <family val="2"/>
      </rPr>
      <t>ch;off</t>
    </r>
  </si>
  <si>
    <r>
      <t>P</t>
    </r>
    <r>
      <rPr>
        <vertAlign val="subscript"/>
        <sz val="11"/>
        <color indexed="8"/>
        <rFont val="Arial"/>
        <family val="2"/>
      </rPr>
      <t>gen;ls;env</t>
    </r>
  </si>
  <si>
    <r>
      <t xml:space="preserve">5.2.1.2 Thermal losses through the generator envelope </t>
    </r>
    <r>
      <rPr>
        <b/>
        <i/>
        <sz val="12"/>
        <color indexed="8"/>
        <rFont val="Times New Roman"/>
        <family val="1"/>
      </rPr>
      <t>f</t>
    </r>
    <r>
      <rPr>
        <b/>
        <vertAlign val="subscript"/>
        <sz val="12"/>
        <color indexed="8"/>
        <rFont val="Arial"/>
        <family val="2"/>
      </rPr>
      <t>gen;env</t>
    </r>
  </si>
  <si>
    <r>
      <t>f</t>
    </r>
    <r>
      <rPr>
        <vertAlign val="subscript"/>
        <sz val="11"/>
        <color indexed="8"/>
        <rFont val="Arial"/>
        <family val="2"/>
      </rPr>
      <t>ch;on;meas</t>
    </r>
  </si>
  <si>
    <r>
      <t>f</t>
    </r>
    <r>
      <rPr>
        <vertAlign val="subscript"/>
        <sz val="11"/>
        <color indexed="8"/>
        <rFont val="Arial"/>
        <family val="2"/>
      </rPr>
      <t>ch;on;meas</t>
    </r>
    <r>
      <rPr>
        <sz val="11"/>
        <color theme="1"/>
        <rFont val="Arial"/>
        <family val="2"/>
      </rPr>
      <t xml:space="preserve"> = (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ch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brm</t>
    </r>
    <r>
      <rPr>
        <sz val="11"/>
        <color theme="1"/>
        <rFont val="Arial"/>
        <family val="2"/>
      </rPr>
      <t>) x (c</t>
    </r>
    <r>
      <rPr>
        <vertAlign val="subscript"/>
        <sz val="11"/>
        <color indexed="8"/>
        <rFont val="Arial"/>
        <family val="2"/>
      </rPr>
      <t>10</t>
    </r>
    <r>
      <rPr>
        <sz val="11"/>
        <color theme="1"/>
        <rFont val="Arial"/>
        <family val="2"/>
      </rPr>
      <t>/(21% - X</t>
    </r>
    <r>
      <rPr>
        <vertAlign val="subscript"/>
        <sz val="11"/>
        <color indexed="8"/>
        <rFont val="Arial"/>
        <family val="2"/>
      </rPr>
      <t>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) + c</t>
    </r>
    <r>
      <rPr>
        <vertAlign val="subscript"/>
        <sz val="11"/>
        <color indexed="8"/>
        <rFont val="Arial"/>
        <family val="2"/>
      </rPr>
      <t>11</t>
    </r>
    <r>
      <rPr>
        <sz val="11"/>
        <color theme="1"/>
        <rFont val="Arial"/>
        <family val="2"/>
      </rPr>
      <t>)</t>
    </r>
  </si>
  <si>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gen;meas</t>
    </r>
  </si>
  <si>
    <r>
      <t xml:space="preserve">average water temperature in the boiler – or for condensing boiler return temperature corresponding to </t>
    </r>
    <r>
      <rPr>
        <i/>
        <sz val="10"/>
        <color indexed="8"/>
        <rFont val="Symbol"/>
        <family val="1"/>
      </rPr>
      <t>J</t>
    </r>
    <r>
      <rPr>
        <vertAlign val="subscript"/>
        <sz val="10"/>
        <color indexed="8"/>
        <rFont val="Arial"/>
        <family val="2"/>
      </rPr>
      <t>gen;ref</t>
    </r>
    <r>
      <rPr>
        <sz val="10"/>
        <color indexed="8"/>
        <rFont val="Arial"/>
        <family val="2"/>
      </rPr>
      <t xml:space="preserve"> = 60 °C - during measurement of </t>
    </r>
    <r>
      <rPr>
        <i/>
        <sz val="10"/>
        <color indexed="8"/>
        <rFont val="Times New Roman"/>
        <family val="1"/>
      </rPr>
      <t>f</t>
    </r>
    <r>
      <rPr>
        <vertAlign val="subscript"/>
        <sz val="10"/>
        <color indexed="8"/>
        <rFont val="Arial"/>
        <family val="2"/>
      </rPr>
      <t>ch;on;meas</t>
    </r>
  </si>
  <si>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gen;ref</t>
    </r>
    <r>
      <rPr>
        <sz val="11"/>
        <color theme="1"/>
        <rFont val="Arial"/>
        <family val="2"/>
      </rPr>
      <t xml:space="preserve"> </t>
    </r>
  </si>
  <si>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corr;ch;on</t>
    </r>
  </si>
  <si>
    <t>%/°C</t>
  </si>
  <si>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ch;on</t>
    </r>
    <r>
      <rPr>
        <sz val="11"/>
        <color theme="1"/>
        <rFont val="Arial"/>
        <family val="2"/>
      </rPr>
      <t xml:space="preserve"> = </t>
    </r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ch;on;meas</t>
    </r>
    <r>
      <rPr>
        <sz val="11"/>
        <color theme="1"/>
        <rFont val="Arial"/>
        <family val="2"/>
      </rPr>
      <t xml:space="preserve"> - (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gen;ref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gen;meas</t>
    </r>
    <r>
      <rPr>
        <sz val="11"/>
        <color theme="1"/>
        <rFont val="Arial"/>
        <family val="2"/>
      </rPr>
      <t xml:space="preserve">) x </t>
    </r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corr;ch;on</t>
    </r>
  </si>
  <si>
    <t>envelope of the boiler, diameter and temperature</t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</si>
  <si>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</t>
    </r>
  </si>
  <si>
    <r>
      <t>P</t>
    </r>
    <r>
      <rPr>
        <vertAlign val="subscript"/>
        <sz val="11"/>
        <color indexed="8"/>
        <rFont val="Arial"/>
        <family val="2"/>
      </rPr>
      <t>gen;del</t>
    </r>
  </si>
  <si>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gen;ls;P0</t>
    </r>
    <r>
      <rPr>
        <sz val="11"/>
        <color theme="1"/>
        <rFont val="Arial"/>
        <family val="2"/>
      </rPr>
      <t xml:space="preserve"> </t>
    </r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</si>
  <si>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gen;Pint</t>
    </r>
  </si>
  <si>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gen;ls;P0</t>
    </r>
    <r>
      <rPr>
        <sz val="11"/>
        <color theme="1"/>
        <rFont val="Arial"/>
        <family val="2"/>
      </rPr>
      <t xml:space="preserve"> = </t>
    </r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 xml:space="preserve">ch;off </t>
    </r>
    <r>
      <rPr>
        <sz val="11"/>
        <color theme="1"/>
        <rFont val="Arial"/>
        <family val="2"/>
      </rPr>
      <t xml:space="preserve">+ </t>
    </r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gen;env</t>
    </r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</si>
  <si>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gen;Pint</t>
    </r>
    <r>
      <rPr>
        <sz val="11"/>
        <color theme="1"/>
        <rFont val="Arial"/>
        <family val="2"/>
      </rPr>
      <t xml:space="preserve"> = (P</t>
    </r>
    <r>
      <rPr>
        <vertAlign val="subscript"/>
        <sz val="11"/>
        <color indexed="8"/>
        <rFont val="Arial"/>
        <family val="2"/>
      </rPr>
      <t xml:space="preserve">gen;del </t>
    </r>
    <r>
      <rPr>
        <sz val="11"/>
        <color theme="1"/>
        <rFont val="Arial"/>
        <family val="2"/>
      </rPr>
      <t xml:space="preserve">x 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 xml:space="preserve">Pint </t>
    </r>
    <r>
      <rPr>
        <sz val="11"/>
        <color theme="1"/>
        <rFont val="Arial"/>
        <family val="2"/>
      </rPr>
      <t>- (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 xml:space="preserve"> x (P</t>
    </r>
    <r>
      <rPr>
        <vertAlign val="subscript"/>
        <sz val="11"/>
        <color indexed="8"/>
        <rFont val="Arial"/>
        <family val="2"/>
      </rPr>
      <t>gen;ls;ch;on</t>
    </r>
    <r>
      <rPr>
        <sz val="11"/>
        <color theme="1"/>
        <rFont val="Arial"/>
        <family val="2"/>
      </rPr>
      <t xml:space="preserve"> - P</t>
    </r>
    <r>
      <rPr>
        <vertAlign val="subscript"/>
        <sz val="11"/>
        <color indexed="8"/>
        <rFont val="Arial"/>
        <family val="2"/>
      </rPr>
      <t>cond</t>
    </r>
    <r>
      <rPr>
        <sz val="11"/>
        <color theme="1"/>
        <rFont val="Arial"/>
        <family val="2"/>
      </rPr>
      <t xml:space="preserve"> + P</t>
    </r>
    <r>
      <rPr>
        <vertAlign val="subscript"/>
        <sz val="11"/>
        <color indexed="8"/>
        <rFont val="Arial"/>
        <family val="2"/>
      </rPr>
      <t>gen;ls;env</t>
    </r>
    <r>
      <rPr>
        <sz val="11"/>
        <color theme="1"/>
        <rFont val="Arial"/>
        <family val="2"/>
      </rPr>
      <t>) + (1-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>) x (P</t>
    </r>
    <r>
      <rPr>
        <vertAlign val="subscript"/>
        <sz val="11"/>
        <color indexed="8"/>
        <rFont val="Arial"/>
        <family val="2"/>
      </rPr>
      <t>gen;ls;ch;off</t>
    </r>
    <r>
      <rPr>
        <sz val="11"/>
        <color theme="1"/>
        <rFont val="Arial"/>
        <family val="2"/>
      </rPr>
      <t xml:space="preserve"> + P</t>
    </r>
    <r>
      <rPr>
        <vertAlign val="subscript"/>
        <sz val="11"/>
        <color indexed="8"/>
        <rFont val="Arial"/>
        <family val="2"/>
      </rPr>
      <t>gen;ls;env</t>
    </r>
    <r>
      <rPr>
        <sz val="11"/>
        <color theme="1"/>
        <rFont val="Arial"/>
        <family val="2"/>
      </rPr>
      <t>)/(P</t>
    </r>
    <r>
      <rPr>
        <vertAlign val="subscript"/>
        <sz val="11"/>
        <color indexed="8"/>
        <rFont val="Arial"/>
        <family val="2"/>
      </rPr>
      <t xml:space="preserve">gen;del </t>
    </r>
    <r>
      <rPr>
        <sz val="11"/>
        <color indexed="8"/>
        <rFont val="Cambria"/>
        <family val="1"/>
      </rPr>
      <t xml:space="preserve">x 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>)</t>
    </r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</si>
  <si>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</t>
    </r>
    <r>
      <rPr>
        <sz val="11"/>
        <color theme="1"/>
        <rFont val="Arial"/>
        <family val="2"/>
      </rPr>
      <t xml:space="preserve"> = (P</t>
    </r>
    <r>
      <rPr>
        <vertAlign val="subscript"/>
        <sz val="11"/>
        <color indexed="8"/>
        <rFont val="Arial"/>
        <family val="2"/>
      </rPr>
      <t xml:space="preserve">gen;del </t>
    </r>
    <r>
      <rPr>
        <sz val="11"/>
        <color theme="1"/>
        <rFont val="Arial"/>
        <family val="2"/>
      </rPr>
      <t>- P</t>
    </r>
    <r>
      <rPr>
        <vertAlign val="subscript"/>
        <sz val="11"/>
        <color indexed="8"/>
        <rFont val="Arial"/>
        <family val="2"/>
      </rPr>
      <t>gen;ls;ch;on</t>
    </r>
    <r>
      <rPr>
        <sz val="11"/>
        <color theme="1"/>
        <rFont val="Arial"/>
        <family val="2"/>
      </rPr>
      <t xml:space="preserve"> - P</t>
    </r>
    <r>
      <rPr>
        <vertAlign val="subscript"/>
        <sz val="11"/>
        <color indexed="8"/>
        <rFont val="Arial"/>
        <family val="2"/>
      </rPr>
      <t>gen;ls;env</t>
    </r>
    <r>
      <rPr>
        <sz val="11"/>
        <color theme="1"/>
        <rFont val="Arial"/>
        <family val="2"/>
      </rPr>
      <t>)/P</t>
    </r>
    <r>
      <rPr>
        <vertAlign val="subscript"/>
        <sz val="11"/>
        <color indexed="8"/>
        <rFont val="Arial"/>
        <family val="2"/>
      </rPr>
      <t>gen;del</t>
    </r>
  </si>
  <si>
    <r>
      <t>P</t>
    </r>
    <r>
      <rPr>
        <vertAlign val="subscript"/>
        <sz val="11"/>
        <color indexed="8"/>
        <rFont val="Arial"/>
        <family val="2"/>
      </rPr>
      <t>gen;del</t>
    </r>
    <r>
      <rPr>
        <sz val="11"/>
        <color theme="1"/>
        <rFont val="Arial"/>
        <family val="2"/>
      </rPr>
      <t xml:space="preserve"> = E</t>
    </r>
    <r>
      <rPr>
        <vertAlign val="subscript"/>
        <sz val="11"/>
        <color indexed="8"/>
        <rFont val="Arial"/>
        <family val="2"/>
      </rPr>
      <t xml:space="preserve">gen;in </t>
    </r>
    <r>
      <rPr>
        <sz val="11"/>
        <color theme="1"/>
        <rFont val="Arial"/>
        <family val="2"/>
      </rPr>
      <t>x H</t>
    </r>
    <r>
      <rPr>
        <vertAlign val="subscript"/>
        <sz val="11"/>
        <color indexed="8"/>
        <rFont val="Arial"/>
        <family val="2"/>
      </rPr>
      <t>i</t>
    </r>
    <r>
      <rPr>
        <sz val="11"/>
        <color theme="1"/>
        <rFont val="Arial"/>
        <family val="2"/>
      </rPr>
      <t xml:space="preserve"> / 3600</t>
    </r>
  </si>
  <si>
    <r>
      <t>P</t>
    </r>
    <r>
      <rPr>
        <vertAlign val="subscript"/>
        <sz val="11"/>
        <color indexed="8"/>
        <rFont val="Arial"/>
        <family val="2"/>
      </rPr>
      <t>cond</t>
    </r>
    <r>
      <rPr>
        <sz val="11"/>
        <color theme="1"/>
        <rFont val="Arial"/>
        <family val="2"/>
      </rPr>
      <t xml:space="preserve"> = Q</t>
    </r>
    <r>
      <rPr>
        <vertAlign val="subscript"/>
        <sz val="11"/>
        <color indexed="8"/>
        <rFont val="Arial"/>
        <family val="2"/>
      </rPr>
      <t>cond</t>
    </r>
    <r>
      <rPr>
        <sz val="11"/>
        <color theme="1"/>
        <rFont val="Arial"/>
        <family val="2"/>
      </rPr>
      <t xml:space="preserve"> /H</t>
    </r>
    <r>
      <rPr>
        <vertAlign val="subscript"/>
        <sz val="11"/>
        <color indexed="8"/>
        <rFont val="Arial"/>
        <family val="2"/>
      </rPr>
      <t>s</t>
    </r>
    <r>
      <rPr>
        <sz val="11"/>
        <color theme="1"/>
        <rFont val="Arial"/>
        <family val="2"/>
      </rPr>
      <t xml:space="preserve"> x P</t>
    </r>
    <r>
      <rPr>
        <vertAlign val="subscript"/>
        <sz val="11"/>
        <color indexed="8"/>
        <rFont val="Arial"/>
        <family val="2"/>
      </rPr>
      <t>gen;del</t>
    </r>
  </si>
  <si>
    <r>
      <t>P</t>
    </r>
    <r>
      <rPr>
        <vertAlign val="subscript"/>
        <sz val="11"/>
        <color indexed="8"/>
        <rFont val="Arial"/>
        <family val="2"/>
      </rPr>
      <t>gen;ls;ch;on</t>
    </r>
    <r>
      <rPr>
        <sz val="11"/>
        <color theme="1"/>
        <rFont val="Arial"/>
        <family val="2"/>
      </rPr>
      <t xml:space="preserve"> </t>
    </r>
  </si>
  <si>
    <r>
      <t>P</t>
    </r>
    <r>
      <rPr>
        <vertAlign val="subscript"/>
        <sz val="11"/>
        <color indexed="8"/>
        <rFont val="Arial"/>
        <family val="2"/>
      </rPr>
      <t>gen;ls;ch;off</t>
    </r>
  </si>
  <si>
    <r>
      <t>P</t>
    </r>
    <r>
      <rPr>
        <vertAlign val="subscript"/>
        <sz val="11"/>
        <color indexed="8"/>
        <rFont val="Arial"/>
        <family val="2"/>
      </rPr>
      <t>gen;ls;ch;on</t>
    </r>
    <r>
      <rPr>
        <sz val="11"/>
        <color theme="1"/>
        <rFont val="Arial"/>
        <family val="2"/>
      </rPr>
      <t xml:space="preserve"> = 0,01 x </t>
    </r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ch;on</t>
    </r>
    <r>
      <rPr>
        <sz val="11"/>
        <color theme="1"/>
        <rFont val="Arial"/>
        <family val="2"/>
      </rPr>
      <t xml:space="preserve"> x P</t>
    </r>
    <r>
      <rPr>
        <vertAlign val="subscript"/>
        <sz val="11"/>
        <color indexed="8"/>
        <rFont val="Arial"/>
        <family val="2"/>
      </rPr>
      <t>gen;del</t>
    </r>
  </si>
  <si>
    <r>
      <t>P</t>
    </r>
    <r>
      <rPr>
        <vertAlign val="subscript"/>
        <sz val="11"/>
        <color indexed="8"/>
        <rFont val="Arial"/>
        <family val="2"/>
      </rPr>
      <t>gen;ls;ch;off</t>
    </r>
    <r>
      <rPr>
        <sz val="11"/>
        <color theme="1"/>
        <rFont val="Arial"/>
        <family val="2"/>
      </rPr>
      <t xml:space="preserve"> = 0,01 x </t>
    </r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ch;off</t>
    </r>
    <r>
      <rPr>
        <sz val="11"/>
        <color theme="1"/>
        <rFont val="Arial"/>
        <family val="2"/>
      </rPr>
      <t xml:space="preserve"> x P</t>
    </r>
    <r>
      <rPr>
        <vertAlign val="subscript"/>
        <sz val="11"/>
        <color indexed="8"/>
        <rFont val="Arial"/>
        <family val="2"/>
      </rPr>
      <t>gen;del</t>
    </r>
  </si>
  <si>
    <r>
      <t>P</t>
    </r>
    <r>
      <rPr>
        <vertAlign val="subscript"/>
        <sz val="11"/>
        <color indexed="8"/>
        <rFont val="Arial"/>
        <family val="2"/>
      </rPr>
      <t>gen;ls;env</t>
    </r>
    <r>
      <rPr>
        <sz val="11"/>
        <color theme="1"/>
        <rFont val="Arial"/>
        <family val="2"/>
      </rPr>
      <t xml:space="preserve"> = </t>
    </r>
    <r>
      <rPr>
        <i/>
        <sz val="11"/>
        <color indexed="8"/>
        <rFont val="Times New Roman"/>
        <family val="1"/>
      </rPr>
      <t>f</t>
    </r>
    <r>
      <rPr>
        <vertAlign val="subscript"/>
        <sz val="11"/>
        <color indexed="8"/>
        <rFont val="Arial"/>
        <family val="2"/>
      </rPr>
      <t>gen;env</t>
    </r>
    <r>
      <rPr>
        <sz val="11"/>
        <color theme="1"/>
        <rFont val="Arial"/>
        <family val="2"/>
      </rPr>
      <t xml:space="preserve"> x P</t>
    </r>
    <r>
      <rPr>
        <vertAlign val="subscript"/>
        <sz val="11"/>
        <color indexed="8"/>
        <rFont val="Arial"/>
        <family val="2"/>
      </rPr>
      <t>gen;del</t>
    </r>
  </si>
  <si>
    <r>
      <rPr>
        <i/>
        <sz val="11"/>
        <color indexed="8"/>
        <rFont val="Times New Roman"/>
        <family val="1"/>
      </rPr>
      <t>E</t>
    </r>
    <r>
      <rPr>
        <vertAlign val="subscript"/>
        <sz val="11"/>
        <color indexed="8"/>
        <rFont val="Arial"/>
        <family val="2"/>
      </rPr>
      <t>gen,in</t>
    </r>
    <r>
      <rPr>
        <sz val="11"/>
        <color theme="1"/>
        <rFont val="Arial"/>
        <family val="2"/>
      </rPr>
      <t>=</t>
    </r>
    <r>
      <rPr>
        <sz val="11"/>
        <color indexed="8"/>
        <rFont val="Times New Roman"/>
        <family val="1"/>
      </rPr>
      <t>Q</t>
    </r>
    <r>
      <rPr>
        <vertAlign val="subscript"/>
        <sz val="11"/>
        <color indexed="8"/>
        <rFont val="Arial"/>
        <family val="2"/>
      </rPr>
      <t>gen,out</t>
    </r>
    <r>
      <rPr>
        <sz val="11"/>
        <color theme="1"/>
        <rFont val="Arial"/>
        <family val="2"/>
      </rPr>
      <t>-Q</t>
    </r>
    <r>
      <rPr>
        <vertAlign val="subscript"/>
        <sz val="11"/>
        <color indexed="8"/>
        <rFont val="Arial"/>
        <family val="2"/>
      </rPr>
      <t>gen,aux,rvd</t>
    </r>
    <r>
      <rPr>
        <sz val="11"/>
        <color theme="1"/>
        <rFont val="Arial"/>
        <family val="2"/>
      </rPr>
      <t>+Q</t>
    </r>
    <r>
      <rPr>
        <vertAlign val="subscript"/>
        <sz val="11"/>
        <color indexed="8"/>
        <rFont val="Arial"/>
        <family val="2"/>
      </rPr>
      <t>gen,ls</t>
    </r>
    <r>
      <rPr>
        <sz val="11"/>
        <color theme="1"/>
        <rFont val="Arial"/>
        <family val="2"/>
      </rPr>
      <t>-Q</t>
    </r>
    <r>
      <rPr>
        <vertAlign val="subscript"/>
        <sz val="11"/>
        <color indexed="8"/>
        <rFont val="Arial"/>
        <family val="2"/>
      </rPr>
      <t>gen,ren</t>
    </r>
  </si>
  <si>
    <r>
      <t>Q</t>
    </r>
    <r>
      <rPr>
        <vertAlign val="subscript"/>
        <sz val="11"/>
        <color indexed="8"/>
        <rFont val="Arial"/>
        <family val="2"/>
      </rPr>
      <t>gen;out</t>
    </r>
  </si>
  <si>
    <r>
      <t>Q</t>
    </r>
    <r>
      <rPr>
        <vertAlign val="subscript"/>
        <sz val="11"/>
        <color indexed="8"/>
        <rFont val="Arial"/>
        <family val="2"/>
      </rPr>
      <t>gen;ren</t>
    </r>
    <r>
      <rPr>
        <sz val="11"/>
        <color theme="1"/>
        <rFont val="Arial"/>
        <family val="2"/>
      </rPr>
      <t xml:space="preserve"> = </t>
    </r>
  </si>
  <si>
    <r>
      <t>Q</t>
    </r>
    <r>
      <rPr>
        <vertAlign val="subscript"/>
        <sz val="11"/>
        <color indexed="8"/>
        <rFont val="Arial"/>
        <family val="2"/>
      </rPr>
      <t>gen;aux;rvd</t>
    </r>
    <r>
      <rPr>
        <sz val="11"/>
        <color theme="1"/>
        <rFont val="Arial"/>
        <family val="2"/>
      </rPr>
      <t xml:space="preserve"> = </t>
    </r>
  </si>
  <si>
    <r>
      <t>Q</t>
    </r>
    <r>
      <rPr>
        <vertAlign val="subscript"/>
        <sz val="11"/>
        <color indexed="8"/>
        <rFont val="Arial"/>
        <family val="2"/>
      </rPr>
      <t>gen;ls</t>
    </r>
    <r>
      <rPr>
        <sz val="11"/>
        <color theme="1"/>
        <rFont val="Arial"/>
        <family val="2"/>
      </rPr>
      <t xml:space="preserve"> = </t>
    </r>
  </si>
  <si>
    <r>
      <t>f</t>
    </r>
    <r>
      <rPr>
        <vertAlign val="subscript"/>
        <sz val="11"/>
        <color indexed="8"/>
        <rFont val="Arial"/>
        <family val="2"/>
      </rPr>
      <t xml:space="preserve">ctr;ls </t>
    </r>
    <r>
      <rPr>
        <sz val="11"/>
        <color theme="1"/>
        <rFont val="Arial"/>
        <family val="2"/>
      </rPr>
      <t>=</t>
    </r>
  </si>
  <si>
    <r>
      <t>Q</t>
    </r>
    <r>
      <rPr>
        <vertAlign val="subscript"/>
        <sz val="11"/>
        <color indexed="8"/>
        <rFont val="Arial"/>
        <family val="2"/>
      </rPr>
      <t>H;dis;in,i</t>
    </r>
    <r>
      <rPr>
        <sz val="11"/>
        <color theme="1"/>
        <rFont val="Arial"/>
        <family val="2"/>
      </rPr>
      <t xml:space="preserve"> = </t>
    </r>
  </si>
  <si>
    <r>
      <t>P</t>
    </r>
    <r>
      <rPr>
        <vertAlign val="subscript"/>
        <sz val="11"/>
        <color indexed="8"/>
        <rFont val="Arial"/>
        <family val="2"/>
      </rPr>
      <t>n</t>
    </r>
    <r>
      <rPr>
        <sz val="11"/>
        <color theme="1"/>
        <rFont val="Arial"/>
        <family val="2"/>
      </rPr>
      <t xml:space="preserve"> =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gen,Pn</t>
    </r>
    <r>
      <rPr>
        <sz val="11"/>
        <color theme="1"/>
        <rFont val="Arial"/>
        <family val="2"/>
      </rPr>
      <t xml:space="preserve"> x P</t>
    </r>
    <r>
      <rPr>
        <vertAlign val="subscript"/>
        <sz val="11"/>
        <color indexed="8"/>
        <rFont val="Arial"/>
        <family val="2"/>
      </rPr>
      <t>gen;del</t>
    </r>
  </si>
  <si>
    <r>
      <t>E</t>
    </r>
    <r>
      <rPr>
        <vertAlign val="subscript"/>
        <sz val="11"/>
        <color indexed="8"/>
        <rFont val="Arial"/>
        <family val="2"/>
      </rPr>
      <t>gen;del;in</t>
    </r>
  </si>
  <si>
    <t>Delivered energy input of the generation sub-system (measured fuel input) (in the calculation interval), in kg, m³,l</t>
  </si>
  <si>
    <t>m³; kg; l</t>
  </si>
  <si>
    <r>
      <t>V</t>
    </r>
    <r>
      <rPr>
        <vertAlign val="subscript"/>
        <sz val="11"/>
        <color indexed="8"/>
        <rFont val="Arial"/>
        <family val="2"/>
      </rPr>
      <t>fg;dry</t>
    </r>
    <r>
      <rPr>
        <sz val="11"/>
        <color theme="1"/>
        <rFont val="Arial"/>
        <family val="2"/>
      </rPr>
      <t xml:space="preserve"> </t>
    </r>
  </si>
  <si>
    <r>
      <t>V</t>
    </r>
    <r>
      <rPr>
        <vertAlign val="subscript"/>
        <sz val="11"/>
        <color indexed="8"/>
        <rFont val="Arial"/>
        <family val="2"/>
      </rPr>
      <t>air;dry</t>
    </r>
    <r>
      <rPr>
        <sz val="11"/>
        <color theme="1"/>
        <rFont val="Arial"/>
        <family val="2"/>
      </rPr>
      <t xml:space="preserve"> </t>
    </r>
  </si>
  <si>
    <r>
      <t>m</t>
    </r>
    <r>
      <rPr>
        <vertAlign val="subscript"/>
        <sz val="11"/>
        <color indexed="8"/>
        <rFont val="Arial"/>
        <family val="2"/>
      </rPr>
      <t>H2O;air</t>
    </r>
  </si>
  <si>
    <r>
      <t>m</t>
    </r>
    <r>
      <rPr>
        <vertAlign val="subscript"/>
        <sz val="11"/>
        <color indexed="8"/>
        <rFont val="Arial"/>
        <family val="2"/>
      </rPr>
      <t>H2O;fg</t>
    </r>
  </si>
  <si>
    <r>
      <t>m</t>
    </r>
    <r>
      <rPr>
        <vertAlign val="subscript"/>
        <sz val="11"/>
        <color indexed="8"/>
        <rFont val="Arial"/>
        <family val="2"/>
      </rPr>
      <t>H2O;cond</t>
    </r>
  </si>
  <si>
    <r>
      <t>h</t>
    </r>
    <r>
      <rPr>
        <vertAlign val="subscript"/>
        <sz val="11"/>
        <color indexed="8"/>
        <rFont val="Arial"/>
        <family val="2"/>
      </rPr>
      <t xml:space="preserve">cond;fg </t>
    </r>
  </si>
  <si>
    <r>
      <t>V</t>
    </r>
    <r>
      <rPr>
        <vertAlign val="subscript"/>
        <sz val="11"/>
        <color indexed="8"/>
        <rFont val="Arial"/>
        <family val="2"/>
      </rPr>
      <t>fg;dry</t>
    </r>
    <r>
      <rPr>
        <sz val="11"/>
        <color theme="1"/>
        <rFont val="Arial"/>
        <family val="2"/>
      </rPr>
      <t xml:space="preserve"> = V</t>
    </r>
    <r>
      <rPr>
        <vertAlign val="subscript"/>
        <sz val="11"/>
        <color indexed="8"/>
        <rFont val="Arial"/>
        <family val="2"/>
      </rPr>
      <t xml:space="preserve">fg;st;dry </t>
    </r>
    <r>
      <rPr>
        <sz val="11"/>
        <color theme="1"/>
        <rFont val="Arial"/>
        <family val="2"/>
      </rPr>
      <t>x 20,94 / (20,94-X</t>
    </r>
    <r>
      <rPr>
        <vertAlign val="subscript"/>
        <sz val="11"/>
        <color indexed="8"/>
        <rFont val="Arial"/>
        <family val="2"/>
      </rPr>
      <t>O2;fg;dry</t>
    </r>
    <r>
      <rPr>
        <sz val="11"/>
        <color theme="1"/>
        <rFont val="Arial"/>
        <family val="2"/>
      </rPr>
      <t>)</t>
    </r>
  </si>
  <si>
    <r>
      <t>V</t>
    </r>
    <r>
      <rPr>
        <vertAlign val="subscript"/>
        <sz val="11"/>
        <color indexed="8"/>
        <rFont val="Arial"/>
        <family val="2"/>
      </rPr>
      <t>air;dry</t>
    </r>
    <r>
      <rPr>
        <sz val="11"/>
        <color theme="1"/>
        <rFont val="Arial"/>
        <family val="2"/>
      </rPr>
      <t xml:space="preserve"> = V</t>
    </r>
    <r>
      <rPr>
        <vertAlign val="subscript"/>
        <sz val="11"/>
        <color indexed="8"/>
        <rFont val="Arial"/>
        <family val="2"/>
      </rPr>
      <t>air;st;dry</t>
    </r>
    <r>
      <rPr>
        <sz val="11"/>
        <color theme="1"/>
        <rFont val="Arial"/>
        <family val="2"/>
      </rPr>
      <t xml:space="preserve"> + V</t>
    </r>
    <r>
      <rPr>
        <vertAlign val="subscript"/>
        <sz val="11"/>
        <color indexed="8"/>
        <rFont val="Arial"/>
        <family val="2"/>
      </rPr>
      <t xml:space="preserve">fg;dry </t>
    </r>
    <r>
      <rPr>
        <sz val="11"/>
        <color theme="1"/>
        <rFont val="Arial"/>
        <family val="2"/>
      </rPr>
      <t>- V</t>
    </r>
    <r>
      <rPr>
        <vertAlign val="subscript"/>
        <sz val="11"/>
        <color indexed="8"/>
        <rFont val="Arial"/>
        <family val="2"/>
      </rPr>
      <t>fg;st;dry</t>
    </r>
    <r>
      <rPr>
        <sz val="11"/>
        <color theme="1"/>
        <rFont val="Arial"/>
        <family val="2"/>
      </rPr>
      <t>)</t>
    </r>
  </si>
  <si>
    <r>
      <t>m</t>
    </r>
    <r>
      <rPr>
        <vertAlign val="subscript"/>
        <sz val="11"/>
        <color indexed="8"/>
        <rFont val="Arial"/>
        <family val="2"/>
      </rPr>
      <t>H2O;air</t>
    </r>
    <r>
      <rPr>
        <sz val="11"/>
        <color theme="1"/>
        <rFont val="Arial"/>
        <family val="2"/>
      </rPr>
      <t xml:space="preserve"> = m</t>
    </r>
    <r>
      <rPr>
        <vertAlign val="subscript"/>
        <sz val="11"/>
        <color indexed="8"/>
        <rFont val="Arial"/>
        <family val="2"/>
      </rPr>
      <t>H2O;air;sat</t>
    </r>
    <r>
      <rPr>
        <sz val="11"/>
        <color theme="1"/>
        <rFont val="Arial"/>
        <family val="2"/>
      </rPr>
      <t xml:space="preserve"> x V</t>
    </r>
    <r>
      <rPr>
        <vertAlign val="subscript"/>
        <sz val="11"/>
        <color indexed="8"/>
        <rFont val="Arial"/>
        <family val="2"/>
      </rPr>
      <t xml:space="preserve">air;dry </t>
    </r>
    <r>
      <rPr>
        <sz val="11"/>
        <color theme="1"/>
        <rFont val="Arial"/>
        <family val="2"/>
      </rPr>
      <t>x x</t>
    </r>
    <r>
      <rPr>
        <vertAlign val="subscript"/>
        <sz val="11"/>
        <color indexed="8"/>
        <rFont val="Arial"/>
        <family val="2"/>
      </rPr>
      <t>air</t>
    </r>
    <r>
      <rPr>
        <sz val="11"/>
        <color theme="1"/>
        <rFont val="Arial"/>
        <family val="2"/>
      </rPr>
      <t>/100</t>
    </r>
  </si>
  <si>
    <r>
      <t>m</t>
    </r>
    <r>
      <rPr>
        <vertAlign val="subscript"/>
        <sz val="11"/>
        <color indexed="8"/>
        <rFont val="Arial"/>
        <family val="2"/>
      </rPr>
      <t>H2O;fg</t>
    </r>
    <r>
      <rPr>
        <sz val="11"/>
        <color theme="1"/>
        <rFont val="Arial"/>
        <family val="2"/>
      </rPr>
      <t xml:space="preserve"> = m</t>
    </r>
    <r>
      <rPr>
        <vertAlign val="subscript"/>
        <sz val="11"/>
        <color indexed="8"/>
        <rFont val="Arial"/>
        <family val="2"/>
      </rPr>
      <t>H2O;air;sat</t>
    </r>
    <r>
      <rPr>
        <sz val="11"/>
        <color theme="1"/>
        <rFont val="Arial"/>
        <family val="2"/>
      </rPr>
      <t xml:space="preserve"> x V</t>
    </r>
    <r>
      <rPr>
        <vertAlign val="subscript"/>
        <sz val="11"/>
        <color indexed="8"/>
        <rFont val="Arial"/>
        <family val="2"/>
      </rPr>
      <t xml:space="preserve">air;dry </t>
    </r>
    <r>
      <rPr>
        <sz val="11"/>
        <color theme="1"/>
        <rFont val="Arial"/>
        <family val="2"/>
      </rPr>
      <t>x x</t>
    </r>
    <r>
      <rPr>
        <vertAlign val="subscript"/>
        <sz val="11"/>
        <color indexed="8"/>
        <rFont val="Arial"/>
        <family val="2"/>
      </rPr>
      <t>air</t>
    </r>
    <r>
      <rPr>
        <sz val="11"/>
        <color theme="1"/>
        <rFont val="Arial"/>
        <family val="2"/>
      </rPr>
      <t>/100</t>
    </r>
  </si>
  <si>
    <r>
      <t>m</t>
    </r>
    <r>
      <rPr>
        <vertAlign val="subscript"/>
        <sz val="11"/>
        <color indexed="8"/>
        <rFont val="Arial"/>
        <family val="2"/>
      </rPr>
      <t>H2O;cond</t>
    </r>
    <r>
      <rPr>
        <sz val="11"/>
        <color theme="1"/>
        <rFont val="Arial"/>
        <family val="2"/>
      </rPr>
      <t xml:space="preserve"> = m</t>
    </r>
    <r>
      <rPr>
        <vertAlign val="subscript"/>
        <sz val="11"/>
        <color indexed="8"/>
        <rFont val="Arial"/>
        <family val="2"/>
      </rPr>
      <t xml:space="preserve">H2O;st </t>
    </r>
    <r>
      <rPr>
        <sz val="11"/>
        <color theme="1"/>
        <rFont val="Arial"/>
        <family val="2"/>
      </rPr>
      <t>+ m</t>
    </r>
    <r>
      <rPr>
        <vertAlign val="subscript"/>
        <sz val="11"/>
        <color indexed="8"/>
        <rFont val="Arial"/>
        <family val="2"/>
      </rPr>
      <t>H2O;air</t>
    </r>
    <r>
      <rPr>
        <sz val="11"/>
        <color theme="1"/>
        <rFont val="Arial"/>
        <family val="2"/>
      </rPr>
      <t xml:space="preserve"> - m</t>
    </r>
    <r>
      <rPr>
        <vertAlign val="subscript"/>
        <sz val="11"/>
        <color indexed="8"/>
        <rFont val="Arial"/>
        <family val="2"/>
      </rPr>
      <t>H2O;fg</t>
    </r>
  </si>
  <si>
    <r>
      <t>h</t>
    </r>
    <r>
      <rPr>
        <vertAlign val="subscript"/>
        <sz val="11"/>
        <color indexed="8"/>
        <rFont val="Arial"/>
        <family val="2"/>
      </rPr>
      <t xml:space="preserve">cond;fg </t>
    </r>
    <r>
      <rPr>
        <sz val="11"/>
        <color theme="1"/>
        <rFont val="Arial"/>
        <family val="2"/>
      </rPr>
      <t>= 694,61-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fg</t>
    </r>
    <r>
      <rPr>
        <sz val="11"/>
        <color theme="1"/>
        <rFont val="Arial"/>
        <family val="2"/>
      </rPr>
      <t xml:space="preserve"> x 0,6765</t>
    </r>
  </si>
  <si>
    <r>
      <t>Q</t>
    </r>
    <r>
      <rPr>
        <vertAlign val="subscript"/>
        <sz val="11"/>
        <color indexed="8"/>
        <rFont val="Arial"/>
        <family val="2"/>
      </rPr>
      <t xml:space="preserve">cond </t>
    </r>
    <r>
      <rPr>
        <sz val="11"/>
        <color theme="1"/>
        <rFont val="Arial"/>
        <family val="2"/>
      </rPr>
      <t>= m</t>
    </r>
    <r>
      <rPr>
        <vertAlign val="subscript"/>
        <sz val="11"/>
        <color indexed="8"/>
        <rFont val="Arial"/>
        <family val="2"/>
      </rPr>
      <t>H2O</t>
    </r>
    <r>
      <rPr>
        <sz val="11"/>
        <color theme="1"/>
        <rFont val="Arial"/>
        <family val="2"/>
      </rPr>
      <t xml:space="preserve"> x h</t>
    </r>
    <r>
      <rPr>
        <vertAlign val="subscript"/>
        <sz val="11"/>
        <color indexed="8"/>
        <rFont val="Arial"/>
        <family val="2"/>
      </rPr>
      <t>cond;fg</t>
    </r>
  </si>
  <si>
    <r>
      <t>P</t>
    </r>
    <r>
      <rPr>
        <vertAlign val="subscript"/>
        <sz val="11"/>
        <color indexed="8"/>
        <rFont val="Arial"/>
        <family val="2"/>
      </rPr>
      <t>cond</t>
    </r>
    <r>
      <rPr>
        <sz val="11"/>
        <color theme="1"/>
        <rFont val="Arial"/>
        <family val="2"/>
      </rPr>
      <t xml:space="preserve"> = 3,6 x Q</t>
    </r>
    <r>
      <rPr>
        <vertAlign val="subscript"/>
        <sz val="11"/>
        <color indexed="8"/>
        <rFont val="Arial"/>
        <family val="2"/>
      </rPr>
      <t>cond</t>
    </r>
    <r>
      <rPr>
        <sz val="11"/>
        <color theme="1"/>
        <rFont val="Arial"/>
        <family val="2"/>
      </rPr>
      <t>/ H</t>
    </r>
    <r>
      <rPr>
        <vertAlign val="subscript"/>
        <sz val="11"/>
        <color indexed="8"/>
        <rFont val="Arial"/>
        <family val="2"/>
      </rPr>
      <t>s</t>
    </r>
    <r>
      <rPr>
        <sz val="11"/>
        <color theme="1"/>
        <rFont val="Arial"/>
        <family val="2"/>
      </rPr>
      <t xml:space="preserve"> x P</t>
    </r>
    <r>
      <rPr>
        <vertAlign val="subscript"/>
        <sz val="11"/>
        <color indexed="8"/>
        <rFont val="Arial"/>
        <family val="2"/>
      </rPr>
      <t>gen;del</t>
    </r>
  </si>
  <si>
    <r>
      <t>m</t>
    </r>
    <r>
      <rPr>
        <vertAlign val="subscript"/>
        <sz val="11"/>
        <color indexed="8"/>
        <rFont val="Arial"/>
        <family val="2"/>
      </rPr>
      <t>H2O;air;sat</t>
    </r>
    <r>
      <rPr>
        <sz val="11"/>
        <color indexed="8"/>
        <rFont val="Arial"/>
        <family val="2"/>
      </rPr>
      <t xml:space="preserve"> </t>
    </r>
  </si>
  <si>
    <r>
      <t>m</t>
    </r>
    <r>
      <rPr>
        <vertAlign val="subscript"/>
        <sz val="11"/>
        <color indexed="8"/>
        <rFont val="Arial"/>
        <family val="2"/>
      </rPr>
      <t>H2O;fg;sat</t>
    </r>
  </si>
  <si>
    <r>
      <t>V</t>
    </r>
    <r>
      <rPr>
        <vertAlign val="subscript"/>
        <sz val="11"/>
        <color indexed="8"/>
        <rFont val="Arial"/>
        <family val="2"/>
      </rPr>
      <t>air;st;dry</t>
    </r>
    <r>
      <rPr>
        <sz val="11"/>
        <color theme="1"/>
        <rFont val="Arial"/>
        <family val="2"/>
      </rPr>
      <t xml:space="preserve"> =</t>
    </r>
  </si>
  <si>
    <r>
      <t>V</t>
    </r>
    <r>
      <rPr>
        <vertAlign val="subscript"/>
        <sz val="11"/>
        <color indexed="8"/>
        <rFont val="Arial"/>
        <family val="2"/>
      </rPr>
      <t>fg;st;dry</t>
    </r>
    <r>
      <rPr>
        <sz val="11"/>
        <color theme="1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</si>
  <si>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Arial"/>
        <family val="2"/>
      </rPr>
      <t xml:space="preserve">H2O;st </t>
    </r>
    <r>
      <rPr>
        <sz val="11"/>
        <color theme="1"/>
        <rFont val="Arial"/>
        <family val="2"/>
      </rPr>
      <t>=</t>
    </r>
  </si>
  <si>
    <r>
      <t>m</t>
    </r>
    <r>
      <rPr>
        <vertAlign val="subscript"/>
        <sz val="9"/>
        <color indexed="8"/>
        <rFont val="Arial"/>
        <family val="2"/>
      </rPr>
      <t>H2O;air;sat</t>
    </r>
    <r>
      <rPr>
        <sz val="9"/>
        <color indexed="8"/>
        <rFont val="Arial"/>
        <family val="2"/>
      </rPr>
      <t xml:space="preserve"> or </t>
    </r>
    <r>
      <rPr>
        <i/>
        <sz val="9"/>
        <color indexed="8"/>
        <rFont val="Arial"/>
        <family val="2"/>
      </rPr>
      <t>m</t>
    </r>
    <r>
      <rPr>
        <vertAlign val="subscript"/>
        <sz val="9"/>
        <color indexed="8"/>
        <rFont val="Arial"/>
        <family val="2"/>
      </rPr>
      <t>H2O;fg;sat</t>
    </r>
  </si>
  <si>
    <r>
      <t>V</t>
    </r>
    <r>
      <rPr>
        <vertAlign val="subscript"/>
        <sz val="9"/>
        <color indexed="8"/>
        <rFont val="Arial"/>
        <family val="2"/>
      </rPr>
      <t>air;st;dry</t>
    </r>
  </si>
  <si>
    <r>
      <t>V</t>
    </r>
    <r>
      <rPr>
        <vertAlign val="subscript"/>
        <sz val="9"/>
        <color indexed="8"/>
        <rFont val="Arial"/>
        <family val="2"/>
      </rPr>
      <t>fg;st;dry</t>
    </r>
  </si>
  <si>
    <r>
      <t>m</t>
    </r>
    <r>
      <rPr>
        <vertAlign val="subscript"/>
        <sz val="9"/>
        <color indexed="8"/>
        <rFont val="Arial"/>
        <family val="2"/>
      </rPr>
      <t>H2O;st</t>
    </r>
  </si>
  <si>
    <r>
      <t>X</t>
    </r>
    <r>
      <rPr>
        <vertAlign val="subscript"/>
        <sz val="10"/>
        <color indexed="8"/>
        <rFont val="Arial"/>
        <family val="2"/>
      </rPr>
      <t>O2;fg;dry</t>
    </r>
  </si>
  <si>
    <r>
      <t>Q</t>
    </r>
    <r>
      <rPr>
        <vertAlign val="subscript"/>
        <sz val="11"/>
        <color indexed="8"/>
        <rFont val="Arial"/>
        <family val="2"/>
      </rPr>
      <t>gen;out</t>
    </r>
    <r>
      <rPr>
        <sz val="11"/>
        <color theme="1"/>
        <rFont val="Arial"/>
        <family val="2"/>
      </rPr>
      <t>=f</t>
    </r>
    <r>
      <rPr>
        <vertAlign val="subscript"/>
        <sz val="11"/>
        <color indexed="8"/>
        <rFont val="Arial"/>
        <family val="2"/>
      </rPr>
      <t>ctr;ls</t>
    </r>
    <r>
      <rPr>
        <sz val="11"/>
        <color theme="1"/>
        <rFont val="Arial"/>
        <family val="2"/>
      </rPr>
      <t xml:space="preserve"> x </t>
    </r>
    <r>
      <rPr>
        <sz val="11"/>
        <color indexed="8"/>
        <rFont val="Symbol"/>
        <family val="1"/>
      </rPr>
      <t>S</t>
    </r>
    <r>
      <rPr>
        <vertAlign val="subscript"/>
        <sz val="11"/>
        <color indexed="8"/>
        <rFont val="Arial"/>
        <family val="2"/>
      </rPr>
      <t>i</t>
    </r>
    <r>
      <rPr>
        <sz val="11"/>
        <color theme="1"/>
        <rFont val="Arial"/>
        <family val="2"/>
      </rPr>
      <t xml:space="preserve"> Q</t>
    </r>
    <r>
      <rPr>
        <vertAlign val="subscript"/>
        <sz val="11"/>
        <color indexed="8"/>
        <rFont val="Arial"/>
        <family val="2"/>
      </rPr>
      <t>H;dis;in,i</t>
    </r>
    <r>
      <rPr>
        <sz val="11"/>
        <color theme="1"/>
        <rFont val="Arial"/>
        <family val="2"/>
      </rPr>
      <t xml:space="preserve"> + </t>
    </r>
    <r>
      <rPr>
        <sz val="11"/>
        <color indexed="8"/>
        <rFont val="Symbol"/>
        <family val="1"/>
      </rPr>
      <t>S</t>
    </r>
    <r>
      <rPr>
        <vertAlign val="subscript"/>
        <sz val="11"/>
        <color indexed="8"/>
        <rFont val="Arial"/>
        <family val="2"/>
      </rPr>
      <t>j</t>
    </r>
    <r>
      <rPr>
        <sz val="11"/>
        <color theme="1"/>
        <rFont val="Arial"/>
        <family val="2"/>
      </rPr>
      <t xml:space="preserve"> Q</t>
    </r>
    <r>
      <rPr>
        <vertAlign val="subscript"/>
        <sz val="11"/>
        <color indexed="8"/>
        <rFont val="Arial"/>
        <family val="2"/>
      </rPr>
      <t>XY;dis;in,j</t>
    </r>
  </si>
  <si>
    <r>
      <t>Q</t>
    </r>
    <r>
      <rPr>
        <vertAlign val="subscript"/>
        <sz val="11"/>
        <color indexed="8"/>
        <rFont val="Arial"/>
        <family val="2"/>
      </rPr>
      <t>XY;dis;in,j</t>
    </r>
    <r>
      <rPr>
        <sz val="11"/>
        <color indexed="8"/>
        <rFont val="Arial"/>
        <family val="2"/>
      </rPr>
      <t xml:space="preserve"> =</t>
    </r>
  </si>
  <si>
    <r>
      <t>E</t>
    </r>
    <r>
      <rPr>
        <vertAlign val="subscript"/>
        <sz val="10"/>
        <color indexed="8"/>
        <rFont val="Arial"/>
        <family val="2"/>
      </rPr>
      <t>tgen;del;in</t>
    </r>
  </si>
  <si>
    <t xml:space="preserve">see </t>
  </si>
  <si>
    <r>
      <t>P</t>
    </r>
    <r>
      <rPr>
        <vertAlign val="subscript"/>
        <sz val="10"/>
        <color indexed="8"/>
        <rFont val="Arial"/>
        <family val="2"/>
      </rPr>
      <t>n</t>
    </r>
  </si>
  <si>
    <t>generator output at full load, in kW</t>
  </si>
  <si>
    <t>see</t>
  </si>
  <si>
    <t>heating hours (in the calculation interval), in s/h or h/mth</t>
  </si>
  <si>
    <r>
      <t>t</t>
    </r>
    <r>
      <rPr>
        <vertAlign val="subscript"/>
        <sz val="10"/>
        <color indexed="8"/>
        <rFont val="Times New Roman"/>
        <family val="1"/>
      </rPr>
      <t>XY</t>
    </r>
  </si>
  <si>
    <r>
      <t>b</t>
    </r>
    <r>
      <rPr>
        <vertAlign val="subscript"/>
        <sz val="10"/>
        <color indexed="8"/>
        <rFont val="Arial"/>
        <family val="2"/>
      </rPr>
      <t>XY;gen</t>
    </r>
  </si>
  <si>
    <r>
      <t>J</t>
    </r>
    <r>
      <rPr>
        <vertAlign val="subscript"/>
        <sz val="9"/>
        <color indexed="8"/>
        <rFont val="Arial"/>
        <family val="2"/>
      </rPr>
      <t>Hc;mn</t>
    </r>
  </si>
  <si>
    <r>
      <t>J</t>
    </r>
    <r>
      <rPr>
        <vertAlign val="subscript"/>
        <sz val="9"/>
        <color indexed="8"/>
        <rFont val="Arial"/>
        <family val="2"/>
      </rPr>
      <t>XYc;mn</t>
    </r>
  </si>
  <si>
    <t>generator average water temperature (or return temperature to the generator for condensing boilers) as a function of the specific operating conditions for heating</t>
  </si>
  <si>
    <t>generator average water temperature (or return temperature to the generator for condensing boilers) as a function of the specific operating conditions for other services</t>
  </si>
  <si>
    <r>
      <t>actual load factor for heating system</t>
    </r>
    <r>
      <rPr>
        <sz val="10"/>
        <color indexed="8"/>
        <rFont val="Arial"/>
        <family val="2"/>
      </rPr>
      <t>, in -</t>
    </r>
  </si>
  <si>
    <r>
      <t>actual load factor for other services</t>
    </r>
    <r>
      <rPr>
        <sz val="10"/>
        <color indexed="8"/>
        <rFont val="Arial"/>
        <family val="2"/>
      </rPr>
      <t>, in -</t>
    </r>
  </si>
  <si>
    <r>
      <t>J</t>
    </r>
    <r>
      <rPr>
        <vertAlign val="subscript"/>
        <sz val="9"/>
        <color indexed="8"/>
        <rFont val="Arial"/>
        <family val="2"/>
      </rPr>
      <t>Hc;RT</t>
    </r>
  </si>
  <si>
    <t xml:space="preserve"> return temperature to the generator for condensing boilers as a function of the specific operating conditions for heating</t>
  </si>
  <si>
    <r>
      <t>J</t>
    </r>
    <r>
      <rPr>
        <vertAlign val="subscript"/>
        <sz val="9"/>
        <color indexed="8"/>
        <rFont val="Arial"/>
        <family val="2"/>
      </rPr>
      <t>XYc;RT</t>
    </r>
  </si>
  <si>
    <t xml:space="preserve"> return temperature to the generator for condensing boilers as a function of the specific operating conditions for other services</t>
  </si>
  <si>
    <t>operating hours for other services(in the calculation interval), in s/h or h/mth</t>
  </si>
  <si>
    <t>KW</t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</si>
  <si>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gen;Pn;corr</t>
    </r>
    <r>
      <rPr>
        <sz val="11"/>
        <color theme="1"/>
        <rFont val="Arial"/>
        <family val="2"/>
      </rPr>
      <t xml:space="preserve"> =</t>
    </r>
    <r>
      <rPr>
        <sz val="11"/>
        <color indexed="8"/>
        <rFont val="Symbol"/>
        <family val="1"/>
      </rPr>
      <t xml:space="preserve"> h</t>
    </r>
    <r>
      <rPr>
        <vertAlign val="subscript"/>
        <sz val="11"/>
        <color indexed="8"/>
        <rFont val="Arial"/>
        <family val="2"/>
      </rPr>
      <t>gen;Pn;60</t>
    </r>
    <r>
      <rPr>
        <sz val="11"/>
        <color indexed="8"/>
        <rFont val="Arial"/>
        <family val="2"/>
      </rPr>
      <t>-(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gen;Pn;60</t>
    </r>
    <r>
      <rPr>
        <sz val="11"/>
        <color indexed="8"/>
        <rFont val="Arial"/>
        <family val="2"/>
      </rPr>
      <t xml:space="preserve"> -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gen;Pn;30</t>
    </r>
    <r>
      <rPr>
        <sz val="11"/>
        <color indexed="8"/>
        <rFont val="Arial"/>
        <family val="2"/>
      </rPr>
      <t>)/(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gen;test;Pn;60</t>
    </r>
    <r>
      <rPr>
        <sz val="11"/>
        <color indexed="8"/>
        <rFont val="Arial"/>
        <family val="2"/>
      </rPr>
      <t xml:space="preserve"> - 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gen;test;Pn;30</t>
    </r>
    <r>
      <rPr>
        <sz val="11"/>
        <color indexed="8"/>
        <rFont val="Arial"/>
        <family val="2"/>
      </rPr>
      <t>)</t>
    </r>
    <r>
      <rPr>
        <sz val="11"/>
        <color theme="1"/>
        <rFont val="Arial"/>
        <family val="2"/>
      </rPr>
      <t xml:space="preserve"> x (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gen,test,Pn;60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HC,RT</t>
    </r>
    <r>
      <rPr>
        <sz val="11"/>
        <color theme="1"/>
        <rFont val="Arial"/>
        <family val="2"/>
      </rPr>
      <t>)</t>
    </r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</si>
  <si>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gen;Pn;corr</t>
    </r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</si>
  <si>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gen;Pn;corr</t>
    </r>
    <r>
      <rPr>
        <sz val="11"/>
        <color theme="1"/>
        <rFont val="Arial"/>
        <family val="2"/>
      </rPr>
      <t xml:space="preserve"> =</t>
    </r>
    <r>
      <rPr>
        <sz val="11"/>
        <color indexed="8"/>
        <rFont val="Symbol"/>
        <family val="1"/>
      </rPr>
      <t xml:space="preserve"> h</t>
    </r>
    <r>
      <rPr>
        <vertAlign val="subscript"/>
        <sz val="11"/>
        <color indexed="8"/>
        <rFont val="Arial"/>
        <family val="2"/>
      </rPr>
      <t>gen;Pn</t>
    </r>
    <r>
      <rPr>
        <sz val="11"/>
        <color theme="1"/>
        <rFont val="Arial"/>
        <family val="2"/>
      </rPr>
      <t xml:space="preserve"> + f</t>
    </r>
    <r>
      <rPr>
        <vertAlign val="subscript"/>
        <sz val="11"/>
        <color indexed="8"/>
        <rFont val="Arial"/>
        <family val="2"/>
      </rPr>
      <t>corr;Pn</t>
    </r>
    <r>
      <rPr>
        <sz val="11"/>
        <color theme="1"/>
        <rFont val="Arial"/>
        <family val="2"/>
      </rPr>
      <t xml:space="preserve"> x (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gen;test;Pn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HC;mn</t>
    </r>
    <r>
      <rPr>
        <sz val="11"/>
        <color theme="1"/>
        <rFont val="Arial"/>
        <family val="2"/>
      </rPr>
      <t>)</t>
    </r>
  </si>
  <si>
    <r>
      <t>P</t>
    </r>
    <r>
      <rPr>
        <vertAlign val="subscript"/>
        <sz val="11"/>
        <color indexed="8"/>
        <rFont val="Arial"/>
        <family val="2"/>
      </rPr>
      <t xml:space="preserve">gen;ls;Pn;corr </t>
    </r>
  </si>
  <si>
    <r>
      <t>P</t>
    </r>
    <r>
      <rPr>
        <vertAlign val="subscript"/>
        <sz val="11"/>
        <color indexed="8"/>
        <rFont val="Arial"/>
        <family val="2"/>
      </rPr>
      <t xml:space="preserve">gen;ls;Pn;corr </t>
    </r>
    <r>
      <rPr>
        <sz val="11"/>
        <color theme="1"/>
        <rFont val="Arial"/>
        <family val="2"/>
      </rPr>
      <t>= (f</t>
    </r>
    <r>
      <rPr>
        <vertAlign val="subscript"/>
        <sz val="11"/>
        <color indexed="8"/>
        <rFont val="Arial"/>
        <family val="2"/>
      </rPr>
      <t>Hs/Hi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gen;Pn;corr</t>
    </r>
    <r>
      <rPr>
        <sz val="11"/>
        <color theme="1"/>
        <rFont val="Arial"/>
        <family val="2"/>
      </rPr>
      <t xml:space="preserve">)/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gen;Pn;corr</t>
    </r>
    <r>
      <rPr>
        <sz val="11"/>
        <color theme="1"/>
        <rFont val="Arial"/>
        <family val="2"/>
      </rPr>
      <t xml:space="preserve"> x P</t>
    </r>
    <r>
      <rPr>
        <vertAlign val="subscript"/>
        <sz val="11"/>
        <color indexed="8"/>
        <rFont val="Arial"/>
        <family val="2"/>
      </rPr>
      <t>n</t>
    </r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</si>
  <si>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gen;Pint;corr</t>
    </r>
  </si>
  <si>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gen;Pint;corr</t>
    </r>
    <r>
      <rPr>
        <sz val="11"/>
        <color theme="1"/>
        <rFont val="Arial"/>
        <family val="2"/>
      </rPr>
      <t xml:space="preserve"> =</t>
    </r>
    <r>
      <rPr>
        <sz val="11"/>
        <color indexed="8"/>
        <rFont val="Symbol"/>
        <family val="1"/>
      </rPr>
      <t xml:space="preserve"> h</t>
    </r>
    <r>
      <rPr>
        <vertAlign val="subscript"/>
        <sz val="11"/>
        <color indexed="8"/>
        <rFont val="Arial"/>
        <family val="2"/>
      </rPr>
      <t>gen;Pint</t>
    </r>
    <r>
      <rPr>
        <sz val="11"/>
        <color theme="1"/>
        <rFont val="Arial"/>
        <family val="2"/>
      </rPr>
      <t xml:space="preserve"> + f</t>
    </r>
    <r>
      <rPr>
        <vertAlign val="subscript"/>
        <sz val="11"/>
        <color indexed="8"/>
        <rFont val="Arial"/>
        <family val="2"/>
      </rPr>
      <t>corr;Pint</t>
    </r>
    <r>
      <rPr>
        <sz val="11"/>
        <color theme="1"/>
        <rFont val="Arial"/>
        <family val="2"/>
      </rPr>
      <t xml:space="preserve"> x (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gen;test;Pint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HC;m</t>
    </r>
    <r>
      <rPr>
        <sz val="11"/>
        <color theme="1"/>
        <rFont val="Arial"/>
        <family val="2"/>
      </rPr>
      <t>)</t>
    </r>
  </si>
  <si>
    <r>
      <t>0&lt;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&lt;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</si>
  <si>
    <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>&lt;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&lt;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Pn</t>
    </r>
  </si>
  <si>
    <r>
      <t xml:space="preserve">if 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&lt;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 xml:space="preserve"> than (22),</t>
    </r>
    <r>
      <rPr>
        <vertAlign val="subscript"/>
        <sz val="11"/>
        <color indexed="8"/>
        <rFont val="Arial"/>
        <family val="2"/>
      </rPr>
      <t xml:space="preserve"> </t>
    </r>
    <r>
      <rPr>
        <sz val="11"/>
        <color theme="1"/>
        <rFont val="Arial"/>
        <family val="2"/>
      </rPr>
      <t>'if</t>
    </r>
    <r>
      <rPr>
        <sz val="11"/>
        <color indexed="8"/>
        <rFont val="Symbol"/>
        <family val="1"/>
      </rPr>
      <t xml:space="preserve"> 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&gt;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 xml:space="preserve">Pint </t>
    </r>
    <r>
      <rPr>
        <sz val="11"/>
        <color theme="1"/>
        <rFont val="Arial"/>
        <family val="2"/>
      </rPr>
      <t xml:space="preserve">than (23) </t>
    </r>
  </si>
  <si>
    <r>
      <t>P</t>
    </r>
    <r>
      <rPr>
        <vertAlign val="subscript"/>
        <sz val="11"/>
        <color indexed="8"/>
        <rFont val="Arial"/>
        <family val="2"/>
      </rPr>
      <t xml:space="preserve">H;gen;ls;Px </t>
    </r>
  </si>
  <si>
    <r>
      <t>P</t>
    </r>
    <r>
      <rPr>
        <vertAlign val="subscript"/>
        <sz val="11"/>
        <color indexed="8"/>
        <rFont val="Arial"/>
        <family val="2"/>
      </rPr>
      <t xml:space="preserve">H;gen,ls,Pint,corr </t>
    </r>
  </si>
  <si>
    <r>
      <t>P</t>
    </r>
    <r>
      <rPr>
        <vertAlign val="subscript"/>
        <sz val="11"/>
        <color indexed="8"/>
        <rFont val="Arial"/>
        <family val="2"/>
      </rPr>
      <t xml:space="preserve">H;gen,ls,Pint,corr </t>
    </r>
    <r>
      <rPr>
        <sz val="11"/>
        <color theme="1"/>
        <rFont val="Arial"/>
        <family val="2"/>
      </rPr>
      <t>= (f</t>
    </r>
    <r>
      <rPr>
        <vertAlign val="subscript"/>
        <sz val="11"/>
        <color indexed="8"/>
        <rFont val="Arial"/>
        <family val="2"/>
      </rPr>
      <t>Hs/Hi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gen,Pint,corr</t>
    </r>
    <r>
      <rPr>
        <sz val="11"/>
        <color theme="1"/>
        <rFont val="Arial"/>
        <family val="2"/>
      </rPr>
      <t xml:space="preserve">)/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gen,Pint,corr</t>
    </r>
    <r>
      <rPr>
        <sz val="11"/>
        <color theme="1"/>
        <rFont val="Arial"/>
        <family val="2"/>
      </rPr>
      <t xml:space="preserve"> x P</t>
    </r>
    <r>
      <rPr>
        <vertAlign val="subscript"/>
        <sz val="11"/>
        <color indexed="8"/>
        <rFont val="Arial"/>
        <family val="2"/>
      </rPr>
      <t>int</t>
    </r>
  </si>
  <si>
    <r>
      <t>P</t>
    </r>
    <r>
      <rPr>
        <vertAlign val="subscript"/>
        <sz val="11"/>
        <color indexed="8"/>
        <rFont val="Arial"/>
        <family val="2"/>
      </rPr>
      <t>H;gen;ls;P0;corr</t>
    </r>
    <r>
      <rPr>
        <sz val="11"/>
        <color theme="1"/>
        <rFont val="Arial"/>
        <family val="2"/>
      </rPr>
      <t xml:space="preserve"> </t>
    </r>
  </si>
  <si>
    <r>
      <t>P</t>
    </r>
    <r>
      <rPr>
        <vertAlign val="subscript"/>
        <sz val="11"/>
        <color indexed="8"/>
        <rFont val="Arial"/>
        <family val="2"/>
      </rPr>
      <t>H;gen;ls;P0;corr</t>
    </r>
    <r>
      <rPr>
        <sz val="11"/>
        <color theme="1"/>
        <rFont val="Arial"/>
        <family val="2"/>
      </rPr>
      <t xml:space="preserve"> = P</t>
    </r>
    <r>
      <rPr>
        <vertAlign val="subscript"/>
        <sz val="11"/>
        <color indexed="8"/>
        <rFont val="Arial"/>
        <family val="2"/>
      </rPr>
      <t>n</t>
    </r>
    <r>
      <rPr>
        <sz val="11"/>
        <color theme="1"/>
        <rFont val="Arial"/>
        <family val="2"/>
      </rPr>
      <t xml:space="preserve"> /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Arial"/>
        <family val="2"/>
      </rPr>
      <t>gen;Pn</t>
    </r>
    <r>
      <rPr>
        <sz val="11"/>
        <color theme="1"/>
        <rFont val="Arial"/>
        <family val="2"/>
      </rPr>
      <t xml:space="preserve"> x f</t>
    </r>
    <r>
      <rPr>
        <vertAlign val="subscript"/>
        <sz val="11"/>
        <color indexed="8"/>
        <rFont val="Arial"/>
        <family val="2"/>
      </rPr>
      <t>gen;ls;P0</t>
    </r>
    <r>
      <rPr>
        <sz val="11"/>
        <color theme="1"/>
        <rFont val="Arial"/>
        <family val="2"/>
      </rPr>
      <t xml:space="preserve"> x f</t>
    </r>
    <r>
      <rPr>
        <vertAlign val="subscript"/>
        <sz val="11"/>
        <color indexed="8"/>
        <rFont val="Arial"/>
        <family val="2"/>
      </rPr>
      <t>Hs/Hi</t>
    </r>
    <r>
      <rPr>
        <sz val="11"/>
        <color theme="1"/>
        <rFont val="Arial"/>
        <family val="2"/>
      </rPr>
      <t xml:space="preserve"> x ((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HC;m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J</t>
    </r>
    <r>
      <rPr>
        <vertAlign val="subscript"/>
        <sz val="11"/>
        <color indexed="8"/>
        <rFont val="Arial"/>
        <family val="2"/>
      </rPr>
      <t>i;brm</t>
    </r>
    <r>
      <rPr>
        <sz val="11"/>
        <color theme="1"/>
        <rFont val="Arial"/>
        <family val="2"/>
      </rPr>
      <t xml:space="preserve">) / </t>
    </r>
    <r>
      <rPr>
        <sz val="11"/>
        <color indexed="8"/>
        <rFont val="Symbol"/>
        <family val="1"/>
      </rPr>
      <t>DJ</t>
    </r>
    <r>
      <rPr>
        <vertAlign val="subscript"/>
        <sz val="11"/>
        <color indexed="8"/>
        <rFont val="Arial"/>
        <family val="2"/>
      </rPr>
      <t>gen;test;P0</t>
    </r>
    <r>
      <rPr>
        <sz val="11"/>
        <color theme="1"/>
        <rFont val="Arial"/>
        <family val="2"/>
      </rPr>
      <t>)</t>
    </r>
    <r>
      <rPr>
        <vertAlign val="superscript"/>
        <sz val="11"/>
        <color indexed="8"/>
        <rFont val="Arial"/>
        <family val="2"/>
      </rPr>
      <t>1,26</t>
    </r>
  </si>
  <si>
    <r>
      <t>P</t>
    </r>
    <r>
      <rPr>
        <vertAlign val="subscript"/>
        <sz val="11"/>
        <color indexed="8"/>
        <rFont val="Arial"/>
        <family val="2"/>
      </rPr>
      <t xml:space="preserve">H;gen;ls;Px </t>
    </r>
    <r>
      <rPr>
        <sz val="11"/>
        <color theme="1"/>
        <rFont val="Arial"/>
        <family val="2"/>
      </rPr>
      <t>=</t>
    </r>
    <r>
      <rPr>
        <sz val="11"/>
        <color indexed="8"/>
        <rFont val="Symbol"/>
        <family val="1"/>
      </rPr>
      <t xml:space="preserve"> 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/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 xml:space="preserve"> x (P</t>
    </r>
    <r>
      <rPr>
        <vertAlign val="subscript"/>
        <sz val="11"/>
        <color indexed="8"/>
        <rFont val="Arial"/>
        <family val="2"/>
      </rPr>
      <t xml:space="preserve">H;gen;ls;Pint;corr </t>
    </r>
    <r>
      <rPr>
        <sz val="11"/>
        <color theme="1"/>
        <rFont val="Arial"/>
        <family val="2"/>
      </rPr>
      <t>- P</t>
    </r>
    <r>
      <rPr>
        <vertAlign val="subscript"/>
        <sz val="11"/>
        <color indexed="8"/>
        <rFont val="Arial"/>
        <family val="2"/>
      </rPr>
      <t>H;gen;ls;P0;corr</t>
    </r>
    <r>
      <rPr>
        <sz val="11"/>
        <color theme="1"/>
        <rFont val="Arial"/>
        <family val="2"/>
      </rPr>
      <t>)+P</t>
    </r>
    <r>
      <rPr>
        <vertAlign val="subscript"/>
        <sz val="11"/>
        <color indexed="8"/>
        <rFont val="Arial"/>
        <family val="2"/>
      </rPr>
      <t>H;gen;ls;P0;corr</t>
    </r>
  </si>
  <si>
    <r>
      <t>P</t>
    </r>
    <r>
      <rPr>
        <vertAlign val="subscript"/>
        <sz val="11"/>
        <color indexed="8"/>
        <rFont val="Arial"/>
        <family val="2"/>
      </rPr>
      <t xml:space="preserve">H;gen;ls;Px </t>
    </r>
    <r>
      <rPr>
        <sz val="11"/>
        <color theme="1"/>
        <rFont val="Arial"/>
        <family val="2"/>
      </rPr>
      <t>=</t>
    </r>
    <r>
      <rPr>
        <sz val="11"/>
        <color indexed="8"/>
        <rFont val="Symbol"/>
        <family val="1"/>
      </rPr>
      <t xml:space="preserve"> (b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-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 xml:space="preserve"> ) / (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Pn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>) x (P</t>
    </r>
    <r>
      <rPr>
        <vertAlign val="subscript"/>
        <sz val="11"/>
        <color indexed="8"/>
        <rFont val="Arial"/>
        <family val="2"/>
      </rPr>
      <t xml:space="preserve">H;gen;ls;Pn;corr </t>
    </r>
    <r>
      <rPr>
        <sz val="11"/>
        <color theme="1"/>
        <rFont val="Arial"/>
        <family val="2"/>
      </rPr>
      <t>- P</t>
    </r>
    <r>
      <rPr>
        <vertAlign val="subscript"/>
        <sz val="11"/>
        <color indexed="8"/>
        <rFont val="Arial"/>
        <family val="2"/>
      </rPr>
      <t>H;gen;ls;Pint;corr</t>
    </r>
    <r>
      <rPr>
        <sz val="11"/>
        <color theme="1"/>
        <rFont val="Arial"/>
        <family val="2"/>
      </rPr>
      <t>)+P</t>
    </r>
    <r>
      <rPr>
        <vertAlign val="subscript"/>
        <sz val="11"/>
        <color indexed="8"/>
        <rFont val="Arial"/>
        <family val="2"/>
      </rPr>
      <t>H;nen;ls;Pint;corr</t>
    </r>
  </si>
  <si>
    <r>
      <t>Q</t>
    </r>
    <r>
      <rPr>
        <vertAlign val="subscript"/>
        <sz val="11"/>
        <color indexed="8"/>
        <rFont val="Arial"/>
        <family val="2"/>
      </rPr>
      <t xml:space="preserve">H;gen;ls </t>
    </r>
    <r>
      <rPr>
        <sz val="11"/>
        <color theme="1"/>
        <rFont val="Arial"/>
        <family val="2"/>
      </rPr>
      <t>= P</t>
    </r>
    <r>
      <rPr>
        <vertAlign val="subscript"/>
        <sz val="11"/>
        <color indexed="8"/>
        <rFont val="Arial"/>
        <family val="2"/>
      </rPr>
      <t>H;gen;ls;PX</t>
    </r>
    <r>
      <rPr>
        <sz val="11"/>
        <color theme="1"/>
        <rFont val="Arial"/>
        <family val="2"/>
      </rPr>
      <t xml:space="preserve"> x t</t>
    </r>
    <r>
      <rPr>
        <vertAlign val="subscript"/>
        <sz val="11"/>
        <color indexed="8"/>
        <rFont val="Arial"/>
        <family val="2"/>
      </rPr>
      <t>H;op</t>
    </r>
  </si>
  <si>
    <r>
      <t>t</t>
    </r>
    <r>
      <rPr>
        <vertAlign val="subscript"/>
        <sz val="11"/>
        <color indexed="8"/>
        <rFont val="Arial"/>
        <family val="2"/>
      </rPr>
      <t>H,op</t>
    </r>
    <r>
      <rPr>
        <sz val="11"/>
        <color theme="1"/>
        <rFont val="Arial"/>
        <family val="2"/>
      </rPr>
      <t xml:space="preserve"> =</t>
    </r>
  </si>
  <si>
    <t>kWh</t>
  </si>
  <si>
    <r>
      <t>Q</t>
    </r>
    <r>
      <rPr>
        <vertAlign val="subscript"/>
        <sz val="11"/>
        <color indexed="8"/>
        <rFont val="Arial"/>
        <family val="2"/>
      </rPr>
      <t xml:space="preserve">gen;ls </t>
    </r>
  </si>
  <si>
    <r>
      <t>Q</t>
    </r>
    <r>
      <rPr>
        <vertAlign val="subscript"/>
        <sz val="11"/>
        <color indexed="8"/>
        <rFont val="Arial"/>
        <family val="2"/>
      </rPr>
      <t xml:space="preserve">H;gen;ls </t>
    </r>
  </si>
  <si>
    <r>
      <t>Q</t>
    </r>
    <r>
      <rPr>
        <vertAlign val="subscript"/>
        <sz val="11"/>
        <color indexed="8"/>
        <rFont val="Arial"/>
        <family val="2"/>
      </rPr>
      <t xml:space="preserve">gen;ls </t>
    </r>
    <r>
      <rPr>
        <sz val="11"/>
        <color theme="1"/>
        <rFont val="Arial"/>
        <family val="2"/>
      </rPr>
      <t xml:space="preserve">= </t>
    </r>
    <r>
      <rPr>
        <sz val="11"/>
        <color indexed="8"/>
        <rFont val="Symbol"/>
        <family val="1"/>
      </rPr>
      <t>S</t>
    </r>
    <r>
      <rPr>
        <vertAlign val="subscript"/>
        <sz val="11"/>
        <color indexed="8"/>
        <rFont val="Arial"/>
        <family val="2"/>
      </rPr>
      <t>i</t>
    </r>
    <r>
      <rPr>
        <sz val="11"/>
        <color theme="1"/>
        <rFont val="Arial"/>
        <family val="2"/>
      </rPr>
      <t>Q</t>
    </r>
    <r>
      <rPr>
        <vertAlign val="subscript"/>
        <sz val="11"/>
        <color indexed="8"/>
        <rFont val="Arial"/>
        <family val="2"/>
      </rPr>
      <t>H;gen;ls,i</t>
    </r>
    <r>
      <rPr>
        <sz val="11"/>
        <color theme="1"/>
        <rFont val="Arial"/>
        <family val="2"/>
      </rPr>
      <t xml:space="preserve"> + </t>
    </r>
    <r>
      <rPr>
        <sz val="11"/>
        <color indexed="8"/>
        <rFont val="Symbol"/>
        <family val="1"/>
      </rPr>
      <t>S</t>
    </r>
    <r>
      <rPr>
        <vertAlign val="subscript"/>
        <sz val="11"/>
        <color indexed="8"/>
        <rFont val="Arial"/>
        <family val="2"/>
      </rPr>
      <t>j</t>
    </r>
    <r>
      <rPr>
        <sz val="11"/>
        <color theme="1"/>
        <rFont val="Arial"/>
        <family val="2"/>
      </rPr>
      <t>Q</t>
    </r>
    <r>
      <rPr>
        <vertAlign val="subscript"/>
        <sz val="11"/>
        <color indexed="8"/>
        <rFont val="Arial"/>
        <family val="2"/>
      </rPr>
      <t>XY;gen;ls,j</t>
    </r>
  </si>
  <si>
    <r>
      <t>Q</t>
    </r>
    <r>
      <rPr>
        <vertAlign val="subscript"/>
        <sz val="11"/>
        <color indexed="8"/>
        <rFont val="Arial"/>
        <family val="2"/>
      </rPr>
      <t>XY;gen;ls,j</t>
    </r>
  </si>
  <si>
    <r>
      <t xml:space="preserve">if 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&lt;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 xml:space="preserve"> than (26),</t>
    </r>
    <r>
      <rPr>
        <vertAlign val="subscript"/>
        <sz val="11"/>
        <color indexed="8"/>
        <rFont val="Arial"/>
        <family val="2"/>
      </rPr>
      <t xml:space="preserve"> </t>
    </r>
    <r>
      <rPr>
        <sz val="11"/>
        <color theme="1"/>
        <rFont val="Arial"/>
        <family val="2"/>
      </rPr>
      <t>'if</t>
    </r>
    <r>
      <rPr>
        <sz val="11"/>
        <color indexed="8"/>
        <rFont val="Symbol"/>
        <family val="1"/>
      </rPr>
      <t xml:space="preserve"> 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&gt;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 xml:space="preserve">Pint </t>
    </r>
    <r>
      <rPr>
        <sz val="11"/>
        <color theme="1"/>
        <rFont val="Arial"/>
        <family val="2"/>
      </rPr>
      <t xml:space="preserve">than (27) </t>
    </r>
  </si>
  <si>
    <r>
      <t>P</t>
    </r>
    <r>
      <rPr>
        <vertAlign val="subscript"/>
        <sz val="11"/>
        <color indexed="8"/>
        <rFont val="Arial"/>
        <family val="2"/>
      </rPr>
      <t xml:space="preserve">H;aux;Px </t>
    </r>
  </si>
  <si>
    <r>
      <t>P</t>
    </r>
    <r>
      <rPr>
        <vertAlign val="subscript"/>
        <sz val="11"/>
        <color indexed="8"/>
        <rFont val="Arial"/>
        <family val="2"/>
      </rPr>
      <t xml:space="preserve">H;aux;Px </t>
    </r>
    <r>
      <rPr>
        <sz val="11"/>
        <color theme="1"/>
        <rFont val="Arial"/>
        <family val="2"/>
      </rPr>
      <t>=</t>
    </r>
    <r>
      <rPr>
        <sz val="11"/>
        <color indexed="8"/>
        <rFont val="Symbol"/>
        <family val="1"/>
      </rPr>
      <t xml:space="preserve"> 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/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 xml:space="preserve"> x (P</t>
    </r>
    <r>
      <rPr>
        <vertAlign val="subscript"/>
        <sz val="11"/>
        <color indexed="8"/>
        <rFont val="Arial"/>
        <family val="2"/>
      </rPr>
      <t xml:space="preserve">aux;Pint </t>
    </r>
    <r>
      <rPr>
        <sz val="11"/>
        <color theme="1"/>
        <rFont val="Arial"/>
        <family val="2"/>
      </rPr>
      <t>- P</t>
    </r>
    <r>
      <rPr>
        <vertAlign val="subscript"/>
        <sz val="11"/>
        <color indexed="8"/>
        <rFont val="Arial"/>
        <family val="2"/>
      </rPr>
      <t>aux;P0</t>
    </r>
    <r>
      <rPr>
        <sz val="11"/>
        <color theme="1"/>
        <rFont val="Arial"/>
        <family val="2"/>
      </rPr>
      <t>)+P</t>
    </r>
    <r>
      <rPr>
        <vertAlign val="subscript"/>
        <sz val="11"/>
        <color indexed="8"/>
        <rFont val="Arial"/>
        <family val="2"/>
      </rPr>
      <t>aux;P0</t>
    </r>
  </si>
  <si>
    <r>
      <t>P</t>
    </r>
    <r>
      <rPr>
        <vertAlign val="subscript"/>
        <sz val="11"/>
        <color indexed="8"/>
        <rFont val="Arial"/>
        <family val="2"/>
      </rPr>
      <t xml:space="preserve">H;aux;Px </t>
    </r>
    <r>
      <rPr>
        <sz val="11"/>
        <color theme="1"/>
        <rFont val="Arial"/>
        <family val="2"/>
      </rPr>
      <t>=</t>
    </r>
    <r>
      <rPr>
        <sz val="11"/>
        <color indexed="8"/>
        <rFont val="Symbol"/>
        <family val="1"/>
      </rPr>
      <t xml:space="preserve"> (b</t>
    </r>
    <r>
      <rPr>
        <vertAlign val="subscript"/>
        <sz val="11"/>
        <color indexed="8"/>
        <rFont val="Arial"/>
        <family val="2"/>
      </rPr>
      <t>H;gen</t>
    </r>
    <r>
      <rPr>
        <sz val="11"/>
        <color theme="1"/>
        <rFont val="Arial"/>
        <family val="2"/>
      </rPr>
      <t>-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 xml:space="preserve"> ) / (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Pn</t>
    </r>
    <r>
      <rPr>
        <sz val="11"/>
        <color theme="1"/>
        <rFont val="Arial"/>
        <family val="2"/>
      </rPr>
      <t xml:space="preserve"> - 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  <r>
      <rPr>
        <sz val="11"/>
        <color theme="1"/>
        <rFont val="Arial"/>
        <family val="2"/>
      </rPr>
      <t>) x (P</t>
    </r>
    <r>
      <rPr>
        <vertAlign val="subscript"/>
        <sz val="11"/>
        <color indexed="8"/>
        <rFont val="Arial"/>
        <family val="2"/>
      </rPr>
      <t xml:space="preserve">aux;Pn </t>
    </r>
    <r>
      <rPr>
        <sz val="11"/>
        <color theme="1"/>
        <rFont val="Arial"/>
        <family val="2"/>
      </rPr>
      <t>- P</t>
    </r>
    <r>
      <rPr>
        <vertAlign val="subscript"/>
        <sz val="11"/>
        <color indexed="8"/>
        <rFont val="Arial"/>
        <family val="2"/>
      </rPr>
      <t>aux;Pint</t>
    </r>
    <r>
      <rPr>
        <sz val="11"/>
        <color theme="1"/>
        <rFont val="Arial"/>
        <family val="2"/>
      </rPr>
      <t>)+P</t>
    </r>
    <r>
      <rPr>
        <vertAlign val="subscript"/>
        <sz val="11"/>
        <color indexed="8"/>
        <rFont val="Arial"/>
        <family val="2"/>
      </rPr>
      <t>aux;Pint</t>
    </r>
  </si>
  <si>
    <r>
      <t>W</t>
    </r>
    <r>
      <rPr>
        <vertAlign val="subscript"/>
        <sz val="11"/>
        <color indexed="8"/>
        <rFont val="Arial"/>
        <family val="2"/>
      </rPr>
      <t xml:space="preserve">H;gen </t>
    </r>
  </si>
  <si>
    <r>
      <t>W</t>
    </r>
    <r>
      <rPr>
        <vertAlign val="subscript"/>
        <sz val="11"/>
        <color indexed="8"/>
        <rFont val="Arial"/>
        <family val="2"/>
      </rPr>
      <t xml:space="preserve">H;gen </t>
    </r>
    <r>
      <rPr>
        <sz val="11"/>
        <color theme="1"/>
        <rFont val="Arial"/>
        <family val="2"/>
      </rPr>
      <t>= P</t>
    </r>
    <r>
      <rPr>
        <vertAlign val="subscript"/>
        <sz val="11"/>
        <color indexed="8"/>
        <rFont val="Arial"/>
        <family val="2"/>
      </rPr>
      <t>H;aux,PX</t>
    </r>
    <r>
      <rPr>
        <sz val="11"/>
        <color theme="1"/>
        <rFont val="Arial"/>
        <family val="2"/>
      </rPr>
      <t xml:space="preserve"> x t</t>
    </r>
    <r>
      <rPr>
        <vertAlign val="subscript"/>
        <sz val="11"/>
        <color indexed="8"/>
        <rFont val="Arial"/>
        <family val="2"/>
      </rPr>
      <t>H;op</t>
    </r>
    <r>
      <rPr>
        <sz val="11"/>
        <color theme="1"/>
        <rFont val="Arial"/>
        <family val="2"/>
      </rPr>
      <t xml:space="preserve"> </t>
    </r>
  </si>
  <si>
    <r>
      <t>W</t>
    </r>
    <r>
      <rPr>
        <vertAlign val="subscript"/>
        <sz val="11"/>
        <color indexed="8"/>
        <rFont val="Arial"/>
        <family val="2"/>
      </rPr>
      <t>gen</t>
    </r>
  </si>
  <si>
    <r>
      <t>W</t>
    </r>
    <r>
      <rPr>
        <vertAlign val="subscript"/>
        <sz val="11"/>
        <color indexed="8"/>
        <rFont val="Arial"/>
        <family val="2"/>
      </rPr>
      <t xml:space="preserve">gen </t>
    </r>
    <r>
      <rPr>
        <sz val="11"/>
        <color theme="1"/>
        <rFont val="Arial"/>
        <family val="2"/>
      </rPr>
      <t xml:space="preserve">= </t>
    </r>
    <r>
      <rPr>
        <sz val="11"/>
        <color indexed="8"/>
        <rFont val="Symbol"/>
        <family val="1"/>
      </rPr>
      <t>S</t>
    </r>
    <r>
      <rPr>
        <vertAlign val="subscript"/>
        <sz val="11"/>
        <color indexed="8"/>
        <rFont val="Arial"/>
        <family val="2"/>
      </rPr>
      <t>i</t>
    </r>
    <r>
      <rPr>
        <sz val="11"/>
        <color theme="1"/>
        <rFont val="Arial"/>
        <family val="2"/>
      </rPr>
      <t>W</t>
    </r>
    <r>
      <rPr>
        <vertAlign val="subscript"/>
        <sz val="11"/>
        <color indexed="8"/>
        <rFont val="Arial"/>
        <family val="2"/>
      </rPr>
      <t>H;gen,i</t>
    </r>
    <r>
      <rPr>
        <sz val="11"/>
        <color theme="1"/>
        <rFont val="Arial"/>
        <family val="2"/>
      </rPr>
      <t xml:space="preserve"> + </t>
    </r>
    <r>
      <rPr>
        <sz val="11"/>
        <color indexed="8"/>
        <rFont val="Symbol"/>
        <family val="1"/>
      </rPr>
      <t>S</t>
    </r>
    <r>
      <rPr>
        <vertAlign val="subscript"/>
        <sz val="11"/>
        <color indexed="8"/>
        <rFont val="Arial"/>
        <family val="2"/>
      </rPr>
      <t>j</t>
    </r>
    <r>
      <rPr>
        <sz val="11"/>
        <color theme="1"/>
        <rFont val="Arial"/>
        <family val="2"/>
      </rPr>
      <t>W</t>
    </r>
    <r>
      <rPr>
        <vertAlign val="subscript"/>
        <sz val="11"/>
        <color indexed="8"/>
        <rFont val="Arial"/>
        <family val="2"/>
      </rPr>
      <t>XY;gen,j</t>
    </r>
  </si>
  <si>
    <r>
      <t>Q</t>
    </r>
    <r>
      <rPr>
        <vertAlign val="subscript"/>
        <sz val="11"/>
        <color indexed="8"/>
        <rFont val="Arial"/>
        <family val="2"/>
      </rPr>
      <t>gen;aux;rvd</t>
    </r>
    <r>
      <rPr>
        <sz val="11"/>
        <color theme="1"/>
        <rFont val="Arial"/>
        <family val="2"/>
      </rPr>
      <t xml:space="preserve"> </t>
    </r>
  </si>
  <si>
    <r>
      <t>Q</t>
    </r>
    <r>
      <rPr>
        <vertAlign val="subscript"/>
        <sz val="11"/>
        <color indexed="8"/>
        <rFont val="Arial"/>
        <family val="2"/>
      </rPr>
      <t>gen;aux,;vd</t>
    </r>
    <r>
      <rPr>
        <sz val="11"/>
        <color theme="1"/>
        <rFont val="Arial"/>
        <family val="2"/>
      </rPr>
      <t xml:space="preserve"> = W</t>
    </r>
    <r>
      <rPr>
        <vertAlign val="subscript"/>
        <sz val="11"/>
        <color indexed="8"/>
        <rFont val="Arial"/>
        <family val="2"/>
      </rPr>
      <t>gen</t>
    </r>
    <r>
      <rPr>
        <sz val="11"/>
        <color theme="1"/>
        <rFont val="Arial"/>
        <family val="2"/>
      </rPr>
      <t xml:space="preserve"> x f</t>
    </r>
    <r>
      <rPr>
        <vertAlign val="subscript"/>
        <sz val="11"/>
        <color indexed="8"/>
        <rFont val="Arial"/>
        <family val="2"/>
      </rPr>
      <t>rvd;aux</t>
    </r>
  </si>
  <si>
    <r>
      <t>Q</t>
    </r>
    <r>
      <rPr>
        <vertAlign val="subscript"/>
        <sz val="11"/>
        <color indexed="8"/>
        <rFont val="Arial"/>
        <family val="2"/>
      </rPr>
      <t>gen;aux;rbl</t>
    </r>
    <r>
      <rPr>
        <sz val="11"/>
        <color theme="1"/>
        <rFont val="Arial"/>
        <family val="2"/>
      </rPr>
      <t xml:space="preserve"> </t>
    </r>
  </si>
  <si>
    <r>
      <t>Q</t>
    </r>
    <r>
      <rPr>
        <vertAlign val="subscript"/>
        <sz val="11"/>
        <color indexed="8"/>
        <rFont val="Arial"/>
        <family val="2"/>
      </rPr>
      <t>gen;aux;rbl</t>
    </r>
    <r>
      <rPr>
        <sz val="11"/>
        <color theme="1"/>
        <rFont val="Arial"/>
        <family val="2"/>
      </rPr>
      <t xml:space="preserve"> = W</t>
    </r>
    <r>
      <rPr>
        <vertAlign val="subscript"/>
        <sz val="11"/>
        <color indexed="8"/>
        <rFont val="Arial"/>
        <family val="2"/>
      </rPr>
      <t>gen</t>
    </r>
    <r>
      <rPr>
        <sz val="11"/>
        <color theme="1"/>
        <rFont val="Arial"/>
        <family val="2"/>
      </rPr>
      <t xml:space="preserve"> x (1 - f</t>
    </r>
    <r>
      <rPr>
        <vertAlign val="subscript"/>
        <sz val="11"/>
        <color indexed="8"/>
        <rFont val="Arial"/>
        <family val="2"/>
      </rPr>
      <t>brm</t>
    </r>
    <r>
      <rPr>
        <sz val="11"/>
        <color theme="1"/>
        <rFont val="Arial"/>
        <family val="2"/>
      </rPr>
      <t>) x f</t>
    </r>
    <r>
      <rPr>
        <vertAlign val="subscript"/>
        <sz val="11"/>
        <color indexed="8"/>
        <rFont val="Arial"/>
        <family val="2"/>
      </rPr>
      <t>rbl;aux</t>
    </r>
  </si>
  <si>
    <r>
      <t>Q</t>
    </r>
    <r>
      <rPr>
        <vertAlign val="subscript"/>
        <sz val="11"/>
        <color indexed="8"/>
        <rFont val="Arial"/>
        <family val="2"/>
      </rPr>
      <t>gen;ls;env;rbl</t>
    </r>
    <r>
      <rPr>
        <sz val="11"/>
        <color theme="1"/>
        <rFont val="Arial"/>
        <family val="2"/>
      </rPr>
      <t xml:space="preserve"> </t>
    </r>
  </si>
  <si>
    <r>
      <t>Q</t>
    </r>
    <r>
      <rPr>
        <vertAlign val="subscript"/>
        <sz val="11"/>
        <color indexed="8"/>
        <rFont val="Arial"/>
        <family val="2"/>
      </rPr>
      <t>gen;ls;env;rbl</t>
    </r>
    <r>
      <rPr>
        <sz val="11"/>
        <color theme="1"/>
        <rFont val="Arial"/>
        <family val="2"/>
      </rPr>
      <t xml:space="preserve"> = P</t>
    </r>
    <r>
      <rPr>
        <vertAlign val="subscript"/>
        <sz val="11"/>
        <color indexed="8"/>
        <rFont val="Arial"/>
        <family val="2"/>
      </rPr>
      <t>gen;ls;P0;corr</t>
    </r>
    <r>
      <rPr>
        <sz val="11"/>
        <color theme="1"/>
        <rFont val="Arial"/>
        <family val="2"/>
      </rPr>
      <t xml:space="preserve"> x ( 1 - f</t>
    </r>
    <r>
      <rPr>
        <vertAlign val="subscript"/>
        <sz val="11"/>
        <color indexed="8"/>
        <rFont val="Arial"/>
        <family val="2"/>
      </rPr>
      <t>brm</t>
    </r>
    <r>
      <rPr>
        <sz val="11"/>
        <color theme="1"/>
        <rFont val="Arial"/>
        <family val="2"/>
      </rPr>
      <t xml:space="preserve"> ) x f</t>
    </r>
    <r>
      <rPr>
        <vertAlign val="subscript"/>
        <sz val="11"/>
        <color indexed="8"/>
        <rFont val="Arial"/>
        <family val="2"/>
      </rPr>
      <t>env</t>
    </r>
    <r>
      <rPr>
        <sz val="11"/>
        <color theme="1"/>
        <rFont val="Arial"/>
        <family val="2"/>
      </rPr>
      <t xml:space="preserve"> x t</t>
    </r>
    <r>
      <rPr>
        <vertAlign val="subscript"/>
        <sz val="11"/>
        <color indexed="8"/>
        <rFont val="Arial"/>
        <family val="2"/>
      </rPr>
      <t>H;op</t>
    </r>
  </si>
  <si>
    <t>kWh/intervall</t>
  </si>
  <si>
    <r>
      <t>Q</t>
    </r>
    <r>
      <rPr>
        <vertAlign val="subscript"/>
        <sz val="10"/>
        <color indexed="8"/>
        <rFont val="Times New Roman"/>
        <family val="1"/>
      </rPr>
      <t>XY;dis;in</t>
    </r>
  </si>
  <si>
    <t>heat input to the other services distribution</t>
  </si>
  <si>
    <t>kWh/interval</t>
  </si>
  <si>
    <t>m³/intervall</t>
  </si>
  <si>
    <t>h/intervall</t>
  </si>
  <si>
    <t>5.3 Output quantities for other parts of the heating system standards</t>
  </si>
  <si>
    <t>Table 4 - Output quantities</t>
  </si>
  <si>
    <r>
      <t>Q</t>
    </r>
    <r>
      <rPr>
        <vertAlign val="subscript"/>
        <sz val="10"/>
        <color indexed="8"/>
        <rFont val="Times New Roman"/>
        <family val="1"/>
      </rPr>
      <t>gen;ls;rbl</t>
    </r>
  </si>
  <si>
    <r>
      <t>W</t>
    </r>
    <r>
      <rPr>
        <vertAlign val="subscript"/>
        <sz val="10"/>
        <color indexed="8"/>
        <rFont val="Times New Roman"/>
        <family val="1"/>
      </rPr>
      <t>gen</t>
    </r>
  </si>
  <si>
    <t>see calculation 5.2</t>
  </si>
  <si>
    <t>5.2 Input quantities from other parts of the heating system standards</t>
  </si>
  <si>
    <r>
      <t>J</t>
    </r>
    <r>
      <rPr>
        <vertAlign val="subscript"/>
        <sz val="10"/>
        <color indexed="8"/>
        <rFont val="Arial"/>
        <family val="2"/>
      </rPr>
      <t>brm</t>
    </r>
  </si>
  <si>
    <r>
      <t>P</t>
    </r>
    <r>
      <rPr>
        <vertAlign val="subscript"/>
        <sz val="11"/>
        <color indexed="8"/>
        <rFont val="Arial"/>
        <family val="2"/>
      </rPr>
      <t>int</t>
    </r>
  </si>
  <si>
    <r>
      <t>P</t>
    </r>
    <r>
      <rPr>
        <vertAlign val="subscript"/>
        <sz val="11"/>
        <color indexed="8"/>
        <rFont val="Arial"/>
        <family val="2"/>
      </rPr>
      <t xml:space="preserve">int </t>
    </r>
    <r>
      <rPr>
        <sz val="11"/>
        <color indexed="8"/>
        <rFont val="Arial"/>
        <family val="2"/>
      </rPr>
      <t>= 0.3 x P</t>
    </r>
    <r>
      <rPr>
        <vertAlign val="subscript"/>
        <sz val="11"/>
        <color indexed="8"/>
        <rFont val="Arial"/>
        <family val="2"/>
      </rPr>
      <t>n</t>
    </r>
  </si>
  <si>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Pn</t>
    </r>
  </si>
  <si>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Pint</t>
    </r>
  </si>
  <si>
    <r>
      <t>t</t>
    </r>
    <r>
      <rPr>
        <vertAlign val="subscript"/>
        <sz val="11"/>
        <color indexed="8"/>
        <rFont val="Arial"/>
        <family val="2"/>
      </rPr>
      <t>H;op</t>
    </r>
  </si>
  <si>
    <r>
      <t>t</t>
    </r>
    <r>
      <rPr>
        <vertAlign val="subscript"/>
        <sz val="11"/>
        <color indexed="8"/>
        <rFont val="Arial"/>
        <family val="2"/>
      </rPr>
      <t>XY;op</t>
    </r>
  </si>
  <si>
    <r>
      <t>t</t>
    </r>
    <r>
      <rPr>
        <vertAlign val="subscript"/>
        <sz val="11"/>
        <color indexed="8"/>
        <rFont val="Arial"/>
        <family val="2"/>
      </rPr>
      <t>XY;op</t>
    </r>
    <r>
      <rPr>
        <sz val="11"/>
        <color theme="1"/>
        <rFont val="Arial"/>
        <family val="2"/>
      </rPr>
      <t xml:space="preserve"> = t</t>
    </r>
    <r>
      <rPr>
        <vertAlign val="subscript"/>
        <sz val="11"/>
        <color indexed="8"/>
        <rFont val="Arial"/>
        <family val="2"/>
      </rPr>
      <t xml:space="preserve">XY </t>
    </r>
    <r>
      <rPr>
        <sz val="11"/>
        <color theme="1"/>
        <rFont val="Arial"/>
        <family val="2"/>
      </rPr>
      <t xml:space="preserve">x </t>
    </r>
    <r>
      <rPr>
        <sz val="11"/>
        <color indexed="8"/>
        <rFont val="Symbol"/>
        <family val="1"/>
      </rPr>
      <t>b</t>
    </r>
    <r>
      <rPr>
        <vertAlign val="subscript"/>
        <sz val="11"/>
        <color indexed="8"/>
        <rFont val="Arial"/>
        <family val="2"/>
      </rPr>
      <t>XY;gen</t>
    </r>
  </si>
  <si>
    <r>
      <t>t</t>
    </r>
    <r>
      <rPr>
        <vertAlign val="subscript"/>
        <sz val="11"/>
        <color indexed="8"/>
        <rFont val="Arial"/>
        <family val="2"/>
      </rPr>
      <t xml:space="preserve">XY,op </t>
    </r>
    <r>
      <rPr>
        <sz val="11"/>
        <color theme="1"/>
        <rFont val="Arial"/>
        <family val="2"/>
      </rPr>
      <t>=</t>
    </r>
  </si>
  <si>
    <r>
      <t>P</t>
    </r>
    <r>
      <rPr>
        <vertAlign val="subscript"/>
        <sz val="11"/>
        <color indexed="8"/>
        <rFont val="Arial"/>
        <family val="2"/>
      </rPr>
      <t xml:space="preserve">H;gen,ls,Px </t>
    </r>
    <r>
      <rPr>
        <sz val="11"/>
        <color theme="1"/>
        <rFont val="Arial"/>
        <family val="2"/>
      </rPr>
      <t>=</t>
    </r>
    <r>
      <rPr>
        <sz val="11"/>
        <color indexed="8"/>
        <rFont val="Symbol"/>
        <family val="1"/>
      </rPr>
      <t xml:space="preserve"> </t>
    </r>
  </si>
  <si>
    <r>
      <t>W</t>
    </r>
    <r>
      <rPr>
        <vertAlign val="subscript"/>
        <sz val="11"/>
        <color indexed="8"/>
        <rFont val="Arial"/>
        <family val="2"/>
      </rPr>
      <t>XY;gen;ls,j</t>
    </r>
  </si>
  <si>
    <r>
      <t>t</t>
    </r>
    <r>
      <rPr>
        <vertAlign val="subscript"/>
        <sz val="11"/>
        <color indexed="8"/>
        <rFont val="Arial"/>
        <family val="2"/>
      </rPr>
      <t>H;op</t>
    </r>
    <r>
      <rPr>
        <sz val="11"/>
        <color theme="1"/>
        <rFont val="Arial"/>
        <family val="2"/>
      </rPr>
      <t xml:space="preserve"> = t</t>
    </r>
    <r>
      <rPr>
        <vertAlign val="subscript"/>
        <sz val="11"/>
        <color indexed="8"/>
        <rFont val="Arial"/>
        <family val="2"/>
      </rPr>
      <t>H</t>
    </r>
    <r>
      <rPr>
        <sz val="11"/>
        <color theme="1"/>
        <rFont val="Arial"/>
        <family val="2"/>
      </rPr>
      <t xml:space="preserve"> - t</t>
    </r>
    <r>
      <rPr>
        <vertAlign val="subscript"/>
        <sz val="11"/>
        <color indexed="8"/>
        <rFont val="Arial"/>
        <family val="2"/>
      </rPr>
      <t>XY,op</t>
    </r>
  </si>
  <si>
    <t>adoption, not calculated</t>
  </si>
  <si>
    <t>Heating systems in buildings — Method for calculation of system energy requirements and system efficiencies — Modul 3 - 8 — Part 4-1: Space heating generation systems, combustion systems (boilers) oil, gas, coal, biomass</t>
  </si>
  <si>
    <t>In this exel-document is written the calculation of the draft prEN 15316-4-1 dated 19.09.2013</t>
  </si>
  <si>
    <t xml:space="preserve">see 7.5 </t>
  </si>
  <si>
    <t>see 7.4.3.2</t>
  </si>
  <si>
    <t>see 7.4.2</t>
  </si>
  <si>
    <t>6.1.1</t>
  </si>
  <si>
    <t>6.1.1.2</t>
  </si>
  <si>
    <t>6.1.1.3</t>
  </si>
  <si>
    <t>6.1.1.4</t>
  </si>
  <si>
    <t>6.1.1.5</t>
  </si>
  <si>
    <t>7.5</t>
  </si>
  <si>
    <t>7.1</t>
  </si>
  <si>
    <t>7.4.1.1</t>
  </si>
  <si>
    <t>7.4.1.2</t>
  </si>
  <si>
    <t>7.4.1.3</t>
  </si>
  <si>
    <t>7.4.1.4</t>
  </si>
  <si>
    <t>7.4.1.5</t>
  </si>
  <si>
    <t>7.4.2</t>
  </si>
  <si>
    <t>7.4.3.1</t>
  </si>
  <si>
    <t>7.4.3.2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</si>
</sst>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#,##0.00\ &quot;€&quot;"/>
    <numFmt numFmtId="178" formatCode="#,##0.0"/>
    <numFmt numFmtId="179" formatCode="0.0000"/>
    <numFmt numFmtId="180" formatCode="0.000"/>
  </numFmts>
  <fonts count="13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color indexed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Symbol"/>
      <family val="1"/>
    </font>
    <font>
      <vertAlign val="subscript"/>
      <sz val="9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color indexed="8"/>
      <name val="Cambria"/>
      <family val="1"/>
    </font>
    <font>
      <sz val="11"/>
      <color indexed="8"/>
      <name val="Symbol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9"/>
      <color indexed="8"/>
      <name val="Arial"/>
      <family val="2"/>
    </font>
    <font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i/>
      <sz val="8"/>
      <color indexed="8"/>
      <name val="Times New Roman"/>
      <family val="1"/>
    </font>
    <font>
      <b/>
      <i/>
      <vertAlign val="sub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1"/>
      <color indexed="8"/>
      <name val="Arial"/>
      <family val="2"/>
    </font>
    <font>
      <b/>
      <i/>
      <sz val="9"/>
      <color indexed="8"/>
      <name val="Symbol"/>
      <family val="1"/>
    </font>
    <font>
      <b/>
      <sz val="14"/>
      <name val="Arial"/>
      <family val="2"/>
    </font>
    <font>
      <sz val="11"/>
      <name val="Arial"/>
      <family val="2"/>
    </font>
    <font>
      <vertAlign val="sub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i/>
      <sz val="10"/>
      <color indexed="8"/>
      <name val="Symbol"/>
      <family val="1"/>
    </font>
    <font>
      <i/>
      <sz val="10"/>
      <color indexed="8"/>
      <name val="Times New Roman"/>
      <family val="1"/>
    </font>
    <font>
      <b/>
      <vertAlign val="subscript"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Symbol"/>
      <family val="1"/>
    </font>
    <font>
      <sz val="10"/>
      <color indexed="10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i/>
      <sz val="9"/>
      <color indexed="8"/>
      <name val="Times New Roman"/>
      <family val="1"/>
    </font>
    <font>
      <b/>
      <i/>
      <sz val="10"/>
      <color indexed="8"/>
      <name val="Symbol"/>
      <family val="1"/>
    </font>
    <font>
      <vertAlign val="superscript"/>
      <sz val="11"/>
      <color indexed="8"/>
      <name val="Cambria"/>
      <family val="1"/>
    </font>
    <font>
      <b/>
      <vertAlign val="superscript"/>
      <sz val="9"/>
      <color indexed="8"/>
      <name val="Cambria"/>
      <family val="1"/>
    </font>
    <font>
      <vertAlign val="superscript"/>
      <sz val="9"/>
      <color indexed="8"/>
      <name val="Cambria"/>
      <family val="1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10"/>
      <name val="Arial"/>
      <family val="2"/>
    </font>
    <font>
      <i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Symbol"/>
      <family val="1"/>
    </font>
    <font>
      <b/>
      <sz val="10"/>
      <color theme="1"/>
      <name val="Arial"/>
      <family val="2"/>
    </font>
    <font>
      <i/>
      <sz val="10"/>
      <color theme="1"/>
      <name val="Times New Roman"/>
      <family val="1"/>
    </font>
    <font>
      <sz val="11"/>
      <color theme="1"/>
      <name val="Symbol"/>
      <family val="1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Symbol"/>
      <family val="1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Arial"/>
      <family val="2"/>
    </font>
    <font>
      <b/>
      <i/>
      <sz val="9"/>
      <color rgb="FF000000"/>
      <name val="Times New Roman"/>
      <family val="1"/>
    </font>
    <font>
      <sz val="9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color rgb="FF000000"/>
      <name val="Arial"/>
      <family val="2"/>
    </font>
    <font>
      <b/>
      <i/>
      <sz val="10"/>
      <color rgb="FF000000"/>
      <name val="Symbol"/>
      <family val="1"/>
    </font>
    <font>
      <vertAlign val="superscript"/>
      <sz val="11"/>
      <color theme="1"/>
      <name val="Cambria"/>
      <family val="1"/>
    </font>
    <font>
      <b/>
      <vertAlign val="superscript"/>
      <sz val="9"/>
      <color rgb="FF000000"/>
      <name val="Cambria"/>
      <family val="1"/>
    </font>
    <font>
      <vertAlign val="superscript"/>
      <sz val="9"/>
      <color rgb="FF000000"/>
      <name val="Cambria"/>
      <family val="1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sz val="9"/>
      <color rgb="FF000000"/>
      <name val="Times New Roman"/>
      <family val="1"/>
    </font>
    <font>
      <vertAlign val="superscript"/>
      <sz val="9"/>
      <color rgb="FF000000"/>
      <name val="Arial"/>
      <family val="2"/>
    </font>
    <font>
      <b/>
      <i/>
      <sz val="10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Symbol"/>
      <family val="1"/>
    </font>
    <font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C9C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9BD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5D9F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>
        <color indexed="63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0" fillId="27" borderId="3" applyNumberFormat="0" applyFont="0" applyAlignment="0" applyProtection="0"/>
    <xf numFmtId="0" fontId="78" fillId="28" borderId="1" applyNumberFormat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552">
    <xf numFmtId="0" fontId="0" fillId="0" borderId="0" xfId="0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0" xfId="0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90" fillId="0" borderId="0" xfId="0" applyFont="1" applyAlignment="1">
      <alignment/>
    </xf>
    <xf numFmtId="0" fontId="9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3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2" fontId="9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97" fillId="0" borderId="10" xfId="0" applyFont="1" applyBorder="1" applyAlignment="1">
      <alignment horizontal="center" wrapText="1"/>
    </xf>
    <xf numFmtId="0" fontId="94" fillId="0" borderId="11" xfId="0" applyFont="1" applyBorder="1" applyAlignment="1">
      <alignment horizontal="center" wrapText="1"/>
    </xf>
    <xf numFmtId="0" fontId="92" fillId="0" borderId="12" xfId="0" applyFont="1" applyBorder="1" applyAlignment="1">
      <alignment horizontal="center" vertical="top" wrapText="1"/>
    </xf>
    <xf numFmtId="0" fontId="92" fillId="0" borderId="13" xfId="0" applyFont="1" applyBorder="1" applyAlignment="1">
      <alignment horizontal="center" vertical="top" wrapText="1"/>
    </xf>
    <xf numFmtId="0" fontId="92" fillId="0" borderId="14" xfId="0" applyFont="1" applyBorder="1" applyAlignment="1">
      <alignment horizontal="center" vertical="top" wrapText="1"/>
    </xf>
    <xf numFmtId="0" fontId="94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11" xfId="0" applyFont="1" applyBorder="1" applyAlignment="1">
      <alignment horizontal="center" wrapText="1"/>
    </xf>
    <xf numFmtId="0" fontId="99" fillId="0" borderId="15" xfId="0" applyFont="1" applyBorder="1" applyAlignment="1">
      <alignment horizontal="center" wrapText="1"/>
    </xf>
    <xf numFmtId="0" fontId="100" fillId="0" borderId="15" xfId="0" applyFont="1" applyBorder="1" applyAlignment="1">
      <alignment horizontal="center" wrapText="1"/>
    </xf>
    <xf numFmtId="0" fontId="100" fillId="0" borderId="15" xfId="0" applyFont="1" applyBorder="1" applyAlignment="1">
      <alignment horizontal="center" vertical="top" wrapText="1"/>
    </xf>
    <xf numFmtId="0" fontId="101" fillId="0" borderId="15" xfId="0" applyFont="1" applyBorder="1" applyAlignment="1">
      <alignment horizontal="center" wrapText="1"/>
    </xf>
    <xf numFmtId="0" fontId="100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1" fillId="0" borderId="11" xfId="0" applyFont="1" applyBorder="1" applyAlignment="1">
      <alignment horizontal="center" wrapText="1"/>
    </xf>
    <xf numFmtId="0" fontId="99" fillId="0" borderId="16" xfId="0" applyFont="1" applyBorder="1" applyAlignment="1">
      <alignment horizontal="center" wrapText="1"/>
    </xf>
    <xf numFmtId="0" fontId="99" fillId="0" borderId="17" xfId="0" applyFont="1" applyBorder="1" applyAlignment="1">
      <alignment horizontal="center" wrapText="1"/>
    </xf>
    <xf numFmtId="0" fontId="99" fillId="0" borderId="18" xfId="0" applyFont="1" applyBorder="1" applyAlignment="1">
      <alignment horizontal="center" wrapText="1"/>
    </xf>
    <xf numFmtId="0" fontId="100" fillId="0" borderId="17" xfId="0" applyFont="1" applyBorder="1" applyAlignment="1">
      <alignment horizontal="center" vertical="top" wrapText="1"/>
    </xf>
    <xf numFmtId="0" fontId="94" fillId="0" borderId="19" xfId="0" applyFont="1" applyBorder="1" applyAlignment="1">
      <alignment horizontal="center" wrapText="1"/>
    </xf>
    <xf numFmtId="0" fontId="94" fillId="0" borderId="20" xfId="0" applyFont="1" applyBorder="1" applyAlignment="1">
      <alignment horizontal="center" wrapText="1"/>
    </xf>
    <xf numFmtId="0" fontId="102" fillId="0" borderId="15" xfId="0" applyFont="1" applyBorder="1" applyAlignment="1">
      <alignment horizontal="center" wrapText="1"/>
    </xf>
    <xf numFmtId="0" fontId="92" fillId="0" borderId="15" xfId="0" applyFont="1" applyBorder="1" applyAlignment="1">
      <alignment horizontal="center" wrapText="1"/>
    </xf>
    <xf numFmtId="0" fontId="100" fillId="0" borderId="0" xfId="0" applyFont="1" applyBorder="1" applyAlignment="1">
      <alignment horizontal="center" vertical="top" wrapText="1"/>
    </xf>
    <xf numFmtId="3" fontId="10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0" fillId="0" borderId="22" xfId="0" applyFont="1" applyBorder="1" applyAlignment="1">
      <alignment horizontal="center" wrapText="1"/>
    </xf>
    <xf numFmtId="0" fontId="100" fillId="0" borderId="18" xfId="0" applyFont="1" applyBorder="1" applyAlignment="1">
      <alignment horizontal="center" wrapText="1"/>
    </xf>
    <xf numFmtId="0" fontId="101" fillId="0" borderId="17" xfId="0" applyFont="1" applyBorder="1" applyAlignment="1">
      <alignment horizontal="justify" wrapText="1"/>
    </xf>
    <xf numFmtId="0" fontId="101" fillId="0" borderId="18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0" fillId="0" borderId="0" xfId="0" applyFont="1" applyBorder="1" applyAlignment="1">
      <alignment horizontal="left" wrapText="1" indent="5"/>
    </xf>
    <xf numFmtId="0" fontId="100" fillId="0" borderId="17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03" fillId="0" borderId="10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wrapText="1"/>
    </xf>
    <xf numFmtId="0" fontId="94" fillId="0" borderId="24" xfId="0" applyFont="1" applyBorder="1" applyAlignment="1">
      <alignment horizontal="center" wrapText="1"/>
    </xf>
    <xf numFmtId="0" fontId="92" fillId="0" borderId="25" xfId="0" applyFont="1" applyBorder="1" applyAlignment="1">
      <alignment horizontal="left" vertical="center" wrapText="1"/>
    </xf>
    <xf numFmtId="3" fontId="101" fillId="0" borderId="13" xfId="0" applyNumberFormat="1" applyFont="1" applyBorder="1" applyAlignment="1">
      <alignment horizontal="center"/>
    </xf>
    <xf numFmtId="0" fontId="92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103" fillId="0" borderId="20" xfId="0" applyFont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top" wrapText="1"/>
    </xf>
    <xf numFmtId="0" fontId="92" fillId="0" borderId="29" xfId="0" applyFont="1" applyBorder="1" applyAlignment="1">
      <alignment horizontal="center" vertical="top" wrapText="1"/>
    </xf>
    <xf numFmtId="0" fontId="97" fillId="0" borderId="20" xfId="0" applyFont="1" applyBorder="1" applyAlignment="1">
      <alignment horizontal="center" wrapText="1"/>
    </xf>
    <xf numFmtId="2" fontId="92" fillId="0" borderId="15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4" fillId="0" borderId="0" xfId="0" applyFont="1" applyAlignment="1">
      <alignment horizontal="left"/>
    </xf>
    <xf numFmtId="0" fontId="105" fillId="0" borderId="30" xfId="0" applyFont="1" applyBorder="1" applyAlignment="1">
      <alignment horizontal="center" wrapText="1"/>
    </xf>
    <xf numFmtId="0" fontId="104" fillId="0" borderId="15" xfId="0" applyFont="1" applyBorder="1" applyAlignment="1">
      <alignment horizontal="center" wrapText="1"/>
    </xf>
    <xf numFmtId="0" fontId="104" fillId="0" borderId="31" xfId="0" applyFont="1" applyBorder="1" applyAlignment="1">
      <alignment horizontal="center" vertical="top" wrapText="1"/>
    </xf>
    <xf numFmtId="0" fontId="106" fillId="0" borderId="15" xfId="0" applyFont="1" applyBorder="1" applyAlignment="1">
      <alignment horizontal="center" vertical="top" wrapText="1"/>
    </xf>
    <xf numFmtId="0" fontId="104" fillId="0" borderId="32" xfId="0" applyFont="1" applyBorder="1" applyAlignment="1">
      <alignment horizontal="center" vertical="top" wrapText="1"/>
    </xf>
    <xf numFmtId="0" fontId="106" fillId="0" borderId="33" xfId="0" applyFont="1" applyBorder="1" applyAlignment="1">
      <alignment horizontal="center" vertical="top" wrapText="1"/>
    </xf>
    <xf numFmtId="0" fontId="107" fillId="0" borderId="15" xfId="0" applyFont="1" applyBorder="1" applyAlignment="1">
      <alignment horizontal="center"/>
    </xf>
    <xf numFmtId="0" fontId="108" fillId="0" borderId="0" xfId="0" applyFont="1" applyBorder="1" applyAlignment="1">
      <alignment horizontal="center" wrapText="1"/>
    </xf>
    <xf numFmtId="0" fontId="109" fillId="0" borderId="0" xfId="0" applyFont="1" applyBorder="1" applyAlignment="1">
      <alignment horizontal="left" vertical="top" wrapText="1"/>
    </xf>
    <xf numFmtId="0" fontId="110" fillId="0" borderId="0" xfId="0" applyFont="1" applyBorder="1" applyAlignment="1">
      <alignment horizontal="left" wrapText="1"/>
    </xf>
    <xf numFmtId="0" fontId="105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 horizontal="center" wrapText="1"/>
    </xf>
    <xf numFmtId="0" fontId="106" fillId="0" borderId="0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justify" vertical="top" wrapText="1"/>
    </xf>
    <xf numFmtId="0" fontId="112" fillId="0" borderId="3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2" fillId="0" borderId="35" xfId="0" applyFont="1" applyBorder="1" applyAlignment="1">
      <alignment horizontal="justify" vertical="top" wrapText="1"/>
    </xf>
    <xf numFmtId="0" fontId="0" fillId="0" borderId="36" xfId="0" applyBorder="1" applyAlignment="1">
      <alignment/>
    </xf>
    <xf numFmtId="0" fontId="94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justify" wrapText="1"/>
    </xf>
    <xf numFmtId="0" fontId="112" fillId="0" borderId="22" xfId="0" applyFont="1" applyBorder="1" applyAlignment="1">
      <alignment horizontal="center" vertical="top" wrapText="1"/>
    </xf>
    <xf numFmtId="0" fontId="108" fillId="0" borderId="18" xfId="0" applyFont="1" applyBorder="1" applyAlignment="1">
      <alignment horizontal="center" vertical="top" wrapText="1"/>
    </xf>
    <xf numFmtId="0" fontId="108" fillId="0" borderId="15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100" fillId="0" borderId="0" xfId="0" applyFont="1" applyAlignment="1">
      <alignment/>
    </xf>
    <xf numFmtId="1" fontId="113" fillId="0" borderId="21" xfId="0" applyNumberFormat="1" applyFont="1" applyBorder="1" applyAlignment="1">
      <alignment horizontal="center"/>
    </xf>
    <xf numFmtId="2" fontId="113" fillId="0" borderId="21" xfId="0" applyNumberFormat="1" applyFont="1" applyBorder="1" applyAlignment="1">
      <alignment horizontal="center"/>
    </xf>
    <xf numFmtId="1" fontId="115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6" fillId="0" borderId="39" xfId="0" applyFont="1" applyBorder="1" applyAlignment="1">
      <alignment horizontal="center"/>
    </xf>
    <xf numFmtId="0" fontId="117" fillId="0" borderId="0" xfId="0" applyFont="1" applyAlignment="1">
      <alignment/>
    </xf>
    <xf numFmtId="0" fontId="118" fillId="0" borderId="15" xfId="0" applyFont="1" applyBorder="1" applyAlignment="1">
      <alignment horizontal="center" vertical="top" wrapText="1"/>
    </xf>
    <xf numFmtId="1" fontId="119" fillId="0" borderId="21" xfId="0" applyNumberFormat="1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99" fillId="0" borderId="10" xfId="0" applyFont="1" applyBorder="1" applyAlignment="1">
      <alignment horizontal="center" wrapText="1"/>
    </xf>
    <xf numFmtId="0" fontId="100" fillId="33" borderId="18" xfId="0" applyFont="1" applyFill="1" applyBorder="1" applyAlignment="1">
      <alignment horizontal="justify" vertical="top" wrapText="1"/>
    </xf>
    <xf numFmtId="0" fontId="99" fillId="33" borderId="0" xfId="0" applyFont="1" applyFill="1" applyBorder="1" applyAlignment="1">
      <alignment horizontal="center" wrapText="1"/>
    </xf>
    <xf numFmtId="0" fontId="99" fillId="0" borderId="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96" fillId="0" borderId="0" xfId="0" applyFont="1" applyAlignment="1" quotePrefix="1">
      <alignment/>
    </xf>
    <xf numFmtId="3" fontId="0" fillId="0" borderId="0" xfId="0" applyNumberFormat="1" applyAlignment="1">
      <alignment/>
    </xf>
    <xf numFmtId="0" fontId="120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2" fillId="0" borderId="13" xfId="0" applyFont="1" applyBorder="1" applyAlignment="1">
      <alignment horizontal="left"/>
    </xf>
    <xf numFmtId="0" fontId="0" fillId="0" borderId="21" xfId="0" applyBorder="1" applyAlignment="1">
      <alignment/>
    </xf>
    <xf numFmtId="0" fontId="92" fillId="0" borderId="21" xfId="0" applyFont="1" applyBorder="1" applyAlignment="1">
      <alignment horizontal="justify" vertical="top" wrapText="1"/>
    </xf>
    <xf numFmtId="0" fontId="0" fillId="0" borderId="40" xfId="0" applyBorder="1" applyAlignment="1">
      <alignment/>
    </xf>
    <xf numFmtId="0" fontId="94" fillId="0" borderId="41" xfId="0" applyFont="1" applyBorder="1" applyAlignment="1">
      <alignment horizontal="center" vertical="top"/>
    </xf>
    <xf numFmtId="0" fontId="94" fillId="0" borderId="42" xfId="0" applyFont="1" applyBorder="1" applyAlignment="1">
      <alignment horizontal="center" vertical="top"/>
    </xf>
    <xf numFmtId="0" fontId="94" fillId="0" borderId="12" xfId="0" applyFont="1" applyBorder="1" applyAlignment="1">
      <alignment horizontal="center" vertical="top"/>
    </xf>
    <xf numFmtId="0" fontId="95" fillId="0" borderId="25" xfId="0" applyFont="1" applyBorder="1" applyAlignment="1">
      <alignment horizontal="left"/>
    </xf>
    <xf numFmtId="0" fontId="95" fillId="0" borderId="26" xfId="0" applyFont="1" applyBorder="1" applyAlignment="1">
      <alignment horizontal="justify" vertical="center"/>
    </xf>
    <xf numFmtId="0" fontId="92" fillId="0" borderId="27" xfId="0" applyFont="1" applyBorder="1" applyAlignment="1">
      <alignment horizontal="left" wrapText="1"/>
    </xf>
    <xf numFmtId="0" fontId="92" fillId="0" borderId="14" xfId="0" applyFont="1" applyBorder="1" applyAlignment="1">
      <alignment horizontal="left" wrapText="1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80" fontId="0" fillId="34" borderId="0" xfId="0" applyNumberFormat="1" applyFill="1" applyAlignment="1">
      <alignment horizontal="center"/>
    </xf>
    <xf numFmtId="178" fontId="0" fillId="34" borderId="0" xfId="0" applyNumberFormat="1" applyFill="1" applyAlignment="1">
      <alignment horizontal="center"/>
    </xf>
    <xf numFmtId="3" fontId="10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101" fillId="0" borderId="21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80" fontId="0" fillId="35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79" fontId="0" fillId="34" borderId="0" xfId="0" applyNumberFormat="1" applyFill="1" applyAlignment="1">
      <alignment/>
    </xf>
    <xf numFmtId="180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3" fontId="0" fillId="35" borderId="0" xfId="0" applyNumberFormat="1" applyFill="1" applyAlignment="1">
      <alignment/>
    </xf>
    <xf numFmtId="176" fontId="0" fillId="34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116" fillId="0" borderId="43" xfId="0" applyFont="1" applyBorder="1" applyAlignment="1">
      <alignment horizontal="center"/>
    </xf>
    <xf numFmtId="0" fontId="107" fillId="0" borderId="44" xfId="0" applyFont="1" applyBorder="1" applyAlignment="1">
      <alignment horizontal="center"/>
    </xf>
    <xf numFmtId="2" fontId="113" fillId="0" borderId="21" xfId="0" applyNumberFormat="1" applyFont="1" applyFill="1" applyBorder="1" applyAlignment="1">
      <alignment horizontal="center"/>
    </xf>
    <xf numFmtId="2" fontId="100" fillId="0" borderId="21" xfId="0" applyNumberFormat="1" applyFont="1" applyBorder="1" applyAlignment="1">
      <alignment horizontal="center"/>
    </xf>
    <xf numFmtId="0" fontId="107" fillId="0" borderId="45" xfId="0" applyFont="1" applyFill="1" applyBorder="1" applyAlignment="1">
      <alignment horizontal="center"/>
    </xf>
    <xf numFmtId="0" fontId="121" fillId="0" borderId="45" xfId="0" applyFont="1" applyBorder="1" applyAlignment="1">
      <alignment horizontal="center" vertical="top" wrapText="1"/>
    </xf>
    <xf numFmtId="0" fontId="107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122" fillId="0" borderId="17" xfId="0" applyFont="1" applyBorder="1" applyAlignment="1">
      <alignment horizontal="center" vertical="top" wrapText="1"/>
    </xf>
    <xf numFmtId="0" fontId="122" fillId="0" borderId="18" xfId="0" applyFont="1" applyBorder="1" applyAlignment="1">
      <alignment horizontal="center" vertical="top" wrapText="1"/>
    </xf>
    <xf numFmtId="0" fontId="94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117" fillId="0" borderId="24" xfId="0" applyFont="1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4" fillId="0" borderId="42" xfId="0" applyFont="1" applyFill="1" applyBorder="1" applyAlignment="1">
      <alignment horizontal="center"/>
    </xf>
    <xf numFmtId="0" fontId="100" fillId="0" borderId="13" xfId="0" applyFont="1" applyBorder="1" applyAlignment="1">
      <alignment/>
    </xf>
    <xf numFmtId="0" fontId="0" fillId="0" borderId="27" xfId="0" applyBorder="1" applyAlignment="1">
      <alignment/>
    </xf>
    <xf numFmtId="0" fontId="100" fillId="0" borderId="14" xfId="0" applyFont="1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9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center"/>
    </xf>
    <xf numFmtId="2" fontId="0" fillId="0" borderId="4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9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1" fillId="0" borderId="21" xfId="0" applyFont="1" applyBorder="1" applyAlignment="1">
      <alignment horizontal="center" wrapText="1"/>
    </xf>
    <xf numFmtId="0" fontId="101" fillId="0" borderId="41" xfId="0" applyFont="1" applyBorder="1" applyAlignment="1">
      <alignment horizontal="center" wrapText="1"/>
    </xf>
    <xf numFmtId="0" fontId="101" fillId="0" borderId="42" xfId="0" applyFont="1" applyBorder="1" applyAlignment="1">
      <alignment horizontal="center" wrapText="1"/>
    </xf>
    <xf numFmtId="0" fontId="101" fillId="0" borderId="12" xfId="0" applyFont="1" applyBorder="1" applyAlignment="1">
      <alignment horizontal="center" wrapText="1"/>
    </xf>
    <xf numFmtId="0" fontId="100" fillId="0" borderId="44" xfId="0" applyFont="1" applyBorder="1" applyAlignment="1">
      <alignment horizontal="center" vertical="top" wrapText="1"/>
    </xf>
    <xf numFmtId="0" fontId="100" fillId="0" borderId="39" xfId="0" applyFont="1" applyBorder="1" applyAlignment="1">
      <alignment horizontal="center" vertical="center" wrapText="1"/>
    </xf>
    <xf numFmtId="0" fontId="100" fillId="0" borderId="39" xfId="0" applyFont="1" applyBorder="1" applyAlignment="1">
      <alignment horizontal="center" vertical="top" wrapText="1"/>
    </xf>
    <xf numFmtId="0" fontId="101" fillId="0" borderId="50" xfId="0" applyFont="1" applyBorder="1" applyAlignment="1">
      <alignment horizontal="center" wrapText="1"/>
    </xf>
    <xf numFmtId="0" fontId="0" fillId="0" borderId="51" xfId="0" applyBorder="1" applyAlignment="1">
      <alignment/>
    </xf>
    <xf numFmtId="3" fontId="101" fillId="0" borderId="25" xfId="0" applyNumberFormat="1" applyFont="1" applyBorder="1" applyAlignment="1">
      <alignment horizontal="center"/>
    </xf>
    <xf numFmtId="0" fontId="101" fillId="0" borderId="25" xfId="0" applyFont="1" applyBorder="1" applyAlignment="1">
      <alignment horizontal="center" wrapText="1"/>
    </xf>
    <xf numFmtId="0" fontId="101" fillId="0" borderId="13" xfId="0" applyFont="1" applyBorder="1" applyAlignment="1">
      <alignment horizontal="center" wrapText="1"/>
    </xf>
    <xf numFmtId="0" fontId="101" fillId="0" borderId="26" xfId="0" applyFont="1" applyBorder="1" applyAlignment="1">
      <alignment horizontal="center" wrapText="1"/>
    </xf>
    <xf numFmtId="0" fontId="101" fillId="0" borderId="27" xfId="0" applyFont="1" applyBorder="1" applyAlignment="1">
      <alignment horizontal="center" wrapText="1"/>
    </xf>
    <xf numFmtId="0" fontId="101" fillId="0" borderId="14" xfId="0" applyFont="1" applyBorder="1" applyAlignment="1">
      <alignment horizontal="center" wrapText="1"/>
    </xf>
    <xf numFmtId="179" fontId="123" fillId="34" borderId="0" xfId="0" applyNumberFormat="1" applyFont="1" applyFill="1" applyAlignment="1">
      <alignment/>
    </xf>
    <xf numFmtId="176" fontId="113" fillId="0" borderId="21" xfId="0" applyNumberFormat="1" applyFont="1" applyBorder="1" applyAlignment="1">
      <alignment horizontal="center" wrapText="1"/>
    </xf>
    <xf numFmtId="176" fontId="122" fillId="0" borderId="21" xfId="0" applyNumberFormat="1" applyFont="1" applyBorder="1" applyAlignment="1">
      <alignment horizontal="center" vertical="center" wrapText="1"/>
    </xf>
    <xf numFmtId="2" fontId="122" fillId="0" borderId="21" xfId="0" applyNumberFormat="1" applyFont="1" applyBorder="1" applyAlignment="1">
      <alignment horizontal="center" vertical="center" wrapText="1"/>
    </xf>
    <xf numFmtId="176" fontId="122" fillId="0" borderId="21" xfId="0" applyNumberFormat="1" applyFont="1" applyBorder="1" applyAlignment="1">
      <alignment horizontal="center" wrapText="1"/>
    </xf>
    <xf numFmtId="2" fontId="122" fillId="0" borderId="21" xfId="0" applyNumberFormat="1" applyFont="1" applyBorder="1" applyAlignment="1">
      <alignment horizontal="center" wrapText="1"/>
    </xf>
    <xf numFmtId="0" fontId="113" fillId="0" borderId="21" xfId="0" applyFont="1" applyBorder="1" applyAlignment="1">
      <alignment horizontal="center"/>
    </xf>
    <xf numFmtId="176" fontId="124" fillId="0" borderId="21" xfId="0" applyNumberFormat="1" applyFont="1" applyBorder="1" applyAlignment="1">
      <alignment horizontal="center" wrapText="1"/>
    </xf>
    <xf numFmtId="1" fontId="125" fillId="0" borderId="21" xfId="0" applyNumberFormat="1" applyFont="1" applyBorder="1" applyAlignment="1">
      <alignment horizontal="center"/>
    </xf>
    <xf numFmtId="0" fontId="94" fillId="0" borderId="24" xfId="0" applyFont="1" applyBorder="1" applyAlignment="1">
      <alignment horizontal="left"/>
    </xf>
    <xf numFmtId="0" fontId="125" fillId="0" borderId="21" xfId="0" applyFont="1" applyBorder="1" applyAlignment="1">
      <alignment horizontal="center"/>
    </xf>
    <xf numFmtId="0" fontId="120" fillId="0" borderId="0" xfId="0" applyFont="1" applyAlignment="1">
      <alignment/>
    </xf>
    <xf numFmtId="0" fontId="90" fillId="0" borderId="0" xfId="0" applyFont="1" applyAlignment="1">
      <alignment horizontal="center"/>
    </xf>
    <xf numFmtId="0" fontId="108" fillId="0" borderId="0" xfId="0" applyFont="1" applyBorder="1" applyAlignment="1">
      <alignment horizontal="center" vertical="top" wrapText="1"/>
    </xf>
    <xf numFmtId="0" fontId="90" fillId="0" borderId="12" xfId="0" applyFont="1" applyBorder="1" applyAlignment="1">
      <alignment horizontal="center" vertical="center"/>
    </xf>
    <xf numFmtId="0" fontId="113" fillId="0" borderId="17" xfId="0" applyFont="1" applyBorder="1" applyAlignment="1">
      <alignment horizontal="left" vertical="center" wrapText="1"/>
    </xf>
    <xf numFmtId="0" fontId="113" fillId="0" borderId="18" xfId="0" applyFont="1" applyBorder="1" applyAlignment="1">
      <alignment horizontal="left" vertical="center" wrapText="1"/>
    </xf>
    <xf numFmtId="0" fontId="113" fillId="0" borderId="16" xfId="0" applyFont="1" applyBorder="1" applyAlignment="1">
      <alignment horizontal="left" vertical="center" wrapText="1"/>
    </xf>
    <xf numFmtId="0" fontId="92" fillId="0" borderId="25" xfId="0" applyFont="1" applyBorder="1" applyAlignment="1">
      <alignment horizontal="justify" vertical="top" wrapText="1"/>
    </xf>
    <xf numFmtId="0" fontId="94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2" fillId="0" borderId="17" xfId="0" applyFont="1" applyBorder="1" applyAlignment="1">
      <alignment horizontal="justify" wrapText="1"/>
    </xf>
    <xf numFmtId="0" fontId="92" fillId="0" borderId="18" xfId="0" applyFont="1" applyBorder="1" applyAlignment="1">
      <alignment horizontal="justify" wrapText="1"/>
    </xf>
    <xf numFmtId="0" fontId="126" fillId="0" borderId="22" xfId="0" applyFont="1" applyBorder="1" applyAlignment="1">
      <alignment horizontal="center" vertical="top" wrapText="1"/>
    </xf>
    <xf numFmtId="0" fontId="126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3" fillId="0" borderId="17" xfId="0" applyFont="1" applyBorder="1" applyAlignment="1">
      <alignment horizontal="justify" vertical="center" wrapText="1"/>
    </xf>
    <xf numFmtId="0" fontId="113" fillId="0" borderId="16" xfId="0" applyFont="1" applyBorder="1" applyAlignment="1">
      <alignment horizontal="justify" vertical="center" wrapText="1"/>
    </xf>
    <xf numFmtId="0" fontId="113" fillId="0" borderId="18" xfId="0" applyFont="1" applyBorder="1" applyAlignment="1">
      <alignment horizontal="justify" vertical="center" wrapText="1"/>
    </xf>
    <xf numFmtId="0" fontId="113" fillId="0" borderId="19" xfId="0" applyFont="1" applyBorder="1" applyAlignment="1">
      <alignment horizontal="left" wrapText="1"/>
    </xf>
    <xf numFmtId="0" fontId="122" fillId="0" borderId="19" xfId="0" applyFont="1" applyBorder="1" applyAlignment="1">
      <alignment horizontal="justify" vertical="top" wrapText="1"/>
    </xf>
    <xf numFmtId="0" fontId="101" fillId="0" borderId="15" xfId="0" applyFont="1" applyBorder="1" applyAlignment="1">
      <alignment horizontal="center" vertical="top" wrapText="1"/>
    </xf>
    <xf numFmtId="0" fontId="122" fillId="0" borderId="17" xfId="0" applyFont="1" applyFill="1" applyBorder="1" applyAlignment="1">
      <alignment horizontal="center" vertical="top" wrapText="1"/>
    </xf>
    <xf numFmtId="0" fontId="112" fillId="0" borderId="22" xfId="0" applyFont="1" applyFill="1" applyBorder="1" applyAlignment="1">
      <alignment horizontal="center" vertical="top" wrapText="1"/>
    </xf>
    <xf numFmtId="0" fontId="112" fillId="0" borderId="34" xfId="0" applyFont="1" applyFill="1" applyBorder="1" applyAlignment="1">
      <alignment horizontal="center" vertical="top" wrapText="1"/>
    </xf>
    <xf numFmtId="0" fontId="116" fillId="0" borderId="39" xfId="0" applyFont="1" applyFill="1" applyBorder="1" applyAlignment="1">
      <alignment horizontal="center"/>
    </xf>
    <xf numFmtId="0" fontId="116" fillId="0" borderId="43" xfId="0" applyFont="1" applyFill="1" applyBorder="1" applyAlignment="1">
      <alignment horizontal="center"/>
    </xf>
    <xf numFmtId="0" fontId="121" fillId="0" borderId="45" xfId="0" applyFont="1" applyFill="1" applyBorder="1" applyAlignment="1">
      <alignment horizontal="center" vertical="top" wrapText="1"/>
    </xf>
    <xf numFmtId="0" fontId="122" fillId="0" borderId="18" xfId="0" applyFont="1" applyFill="1" applyBorder="1" applyAlignment="1">
      <alignment horizontal="center" vertical="top" wrapText="1"/>
    </xf>
    <xf numFmtId="0" fontId="108" fillId="0" borderId="18" xfId="0" applyFont="1" applyFill="1" applyBorder="1" applyAlignment="1">
      <alignment horizontal="center" vertical="top" wrapText="1"/>
    </xf>
    <xf numFmtId="0" fontId="108" fillId="0" borderId="15" xfId="0" applyFont="1" applyFill="1" applyBorder="1" applyAlignment="1">
      <alignment horizontal="center" vertical="top" wrapText="1"/>
    </xf>
    <xf numFmtId="0" fontId="107" fillId="0" borderId="46" xfId="0" applyFont="1" applyFill="1" applyBorder="1" applyAlignment="1">
      <alignment horizontal="center"/>
    </xf>
    <xf numFmtId="0" fontId="107" fillId="0" borderId="15" xfId="0" applyFont="1" applyFill="1" applyBorder="1" applyAlignment="1">
      <alignment horizontal="center"/>
    </xf>
    <xf numFmtId="0" fontId="107" fillId="0" borderId="44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117" fillId="0" borderId="0" xfId="0" applyFont="1" applyFill="1" applyAlignment="1">
      <alignment/>
    </xf>
    <xf numFmtId="0" fontId="12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99" fillId="0" borderId="10" xfId="0" applyFont="1" applyFill="1" applyBorder="1" applyAlignment="1">
      <alignment horizontal="center" wrapText="1"/>
    </xf>
    <xf numFmtId="0" fontId="99" fillId="0" borderId="15" xfId="0" applyFont="1" applyFill="1" applyBorder="1" applyAlignment="1">
      <alignment horizontal="center" wrapText="1"/>
    </xf>
    <xf numFmtId="0" fontId="100" fillId="0" borderId="18" xfId="0" applyFont="1" applyFill="1" applyBorder="1" applyAlignment="1">
      <alignment horizontal="justify" vertical="center" wrapText="1"/>
    </xf>
    <xf numFmtId="0" fontId="101" fillId="0" borderId="0" xfId="0" applyFont="1" applyAlignment="1">
      <alignment/>
    </xf>
    <xf numFmtId="0" fontId="92" fillId="0" borderId="52" xfId="0" applyFont="1" applyBorder="1" applyAlignment="1">
      <alignment horizontal="left" vertical="top" wrapText="1"/>
    </xf>
    <xf numFmtId="0" fontId="92" fillId="0" borderId="53" xfId="0" applyFont="1" applyBorder="1" applyAlignment="1">
      <alignment horizontal="justify" vertical="top" wrapText="1"/>
    </xf>
    <xf numFmtId="0" fontId="92" fillId="0" borderId="54" xfId="0" applyFont="1" applyBorder="1" applyAlignment="1">
      <alignment horizontal="justify" vertical="top" wrapText="1"/>
    </xf>
    <xf numFmtId="0" fontId="0" fillId="0" borderId="55" xfId="0" applyBorder="1" applyAlignment="1">
      <alignment/>
    </xf>
    <xf numFmtId="0" fontId="0" fillId="0" borderId="46" xfId="0" applyBorder="1" applyAlignment="1">
      <alignment/>
    </xf>
    <xf numFmtId="0" fontId="92" fillId="0" borderId="0" xfId="0" applyFont="1" applyAlignment="1">
      <alignment vertical="center" wrapText="1"/>
    </xf>
    <xf numFmtId="0" fontId="0" fillId="0" borderId="56" xfId="0" applyBorder="1" applyAlignment="1">
      <alignment/>
    </xf>
    <xf numFmtId="0" fontId="0" fillId="36" borderId="0" xfId="0" applyFill="1" applyBorder="1" applyAlignment="1">
      <alignment horizontal="center"/>
    </xf>
    <xf numFmtId="0" fontId="103" fillId="0" borderId="21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top" wrapText="1"/>
    </xf>
    <xf numFmtId="2" fontId="0" fillId="0" borderId="21" xfId="0" applyNumberFormat="1" applyBorder="1" applyAlignment="1">
      <alignment horizontal="center"/>
    </xf>
    <xf numFmtId="3" fontId="101" fillId="0" borderId="21" xfId="0" applyNumberFormat="1" applyFont="1" applyBorder="1" applyAlignment="1">
      <alignment horizontal="center" vertical="center"/>
    </xf>
    <xf numFmtId="3" fontId="101" fillId="0" borderId="21" xfId="0" applyNumberFormat="1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wrapText="1"/>
    </xf>
    <xf numFmtId="0" fontId="92" fillId="0" borderId="21" xfId="0" applyFont="1" applyBorder="1" applyAlignment="1">
      <alignment horizontal="center" vertical="center" wrapText="1"/>
    </xf>
    <xf numFmtId="0" fontId="101" fillId="0" borderId="0" xfId="0" applyFont="1" applyFill="1" applyAlignment="1">
      <alignment horizontal="center" wrapText="1"/>
    </xf>
    <xf numFmtId="0" fontId="101" fillId="0" borderId="0" xfId="0" applyFont="1" applyFill="1" applyAlignment="1">
      <alignment wrapText="1"/>
    </xf>
    <xf numFmtId="0" fontId="0" fillId="0" borderId="57" xfId="0" applyFill="1" applyBorder="1" applyAlignment="1">
      <alignment/>
    </xf>
    <xf numFmtId="0" fontId="100" fillId="0" borderId="0" xfId="0" applyFont="1" applyFill="1" applyAlignment="1">
      <alignment horizontal="center" vertical="center"/>
    </xf>
    <xf numFmtId="0" fontId="92" fillId="0" borderId="0" xfId="0" applyFont="1" applyFill="1" applyBorder="1" applyAlignment="1">
      <alignment horizontal="justify" vertical="top" wrapText="1"/>
    </xf>
    <xf numFmtId="0" fontId="0" fillId="0" borderId="58" xfId="0" applyFill="1" applyBorder="1" applyAlignment="1">
      <alignment horizontal="right"/>
    </xf>
    <xf numFmtId="0" fontId="0" fillId="0" borderId="59" xfId="0" applyFill="1" applyBorder="1" applyAlignment="1">
      <alignment horizontal="right"/>
    </xf>
    <xf numFmtId="0" fontId="100" fillId="36" borderId="15" xfId="0" applyFont="1" applyFill="1" applyBorder="1" applyAlignment="1">
      <alignment horizontal="center" vertical="top" wrapText="1"/>
    </xf>
    <xf numFmtId="0" fontId="100" fillId="36" borderId="1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left" wrapText="1"/>
    </xf>
    <xf numFmtId="180" fontId="0" fillId="36" borderId="0" xfId="0" applyNumberFormat="1" applyFill="1" applyAlignment="1">
      <alignment horizontal="center" vertical="center"/>
    </xf>
    <xf numFmtId="0" fontId="10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3" fontId="100" fillId="36" borderId="15" xfId="0" applyNumberFormat="1" applyFont="1" applyFill="1" applyBorder="1" applyAlignment="1">
      <alignment horizontal="center" vertical="center" wrapText="1"/>
    </xf>
    <xf numFmtId="3" fontId="0" fillId="37" borderId="25" xfId="0" applyNumberFormat="1" applyFill="1" applyBorder="1" applyAlignment="1">
      <alignment horizontal="center" vertical="center"/>
    </xf>
    <xf numFmtId="0" fontId="0" fillId="36" borderId="0" xfId="0" applyFill="1" applyAlignment="1">
      <alignment/>
    </xf>
    <xf numFmtId="176" fontId="0" fillId="36" borderId="0" xfId="0" applyNumberFormat="1" applyFill="1" applyAlignment="1">
      <alignment/>
    </xf>
    <xf numFmtId="180" fontId="0" fillId="36" borderId="0" xfId="0" applyNumberFormat="1" applyFill="1" applyAlignment="1">
      <alignment/>
    </xf>
    <xf numFmtId="176" fontId="100" fillId="36" borderId="15" xfId="0" applyNumberFormat="1" applyFont="1" applyFill="1" applyBorder="1" applyAlignment="1">
      <alignment horizontal="center" vertical="center" wrapText="1"/>
    </xf>
    <xf numFmtId="180" fontId="100" fillId="36" borderId="15" xfId="0" applyNumberFormat="1" applyFont="1" applyFill="1" applyBorder="1" applyAlignment="1">
      <alignment horizontal="center" vertical="center" wrapText="1"/>
    </xf>
    <xf numFmtId="3" fontId="0" fillId="37" borderId="26" xfId="0" applyNumberFormat="1" applyFill="1" applyBorder="1" applyAlignment="1">
      <alignment horizontal="center" vertical="center"/>
    </xf>
    <xf numFmtId="4" fontId="0" fillId="36" borderId="0" xfId="0" applyNumberFormat="1" applyFill="1" applyAlignment="1">
      <alignment/>
    </xf>
    <xf numFmtId="0" fontId="1" fillId="0" borderId="0" xfId="0" applyFont="1" applyAlignment="1">
      <alignment/>
    </xf>
    <xf numFmtId="0" fontId="101" fillId="0" borderId="0" xfId="0" applyFont="1" applyAlignment="1">
      <alignment horizontal="right"/>
    </xf>
    <xf numFmtId="178" fontId="0" fillId="36" borderId="0" xfId="0" applyNumberFormat="1" applyFill="1" applyAlignment="1">
      <alignment/>
    </xf>
    <xf numFmtId="176" fontId="0" fillId="35" borderId="0" xfId="0" applyNumberFormat="1" applyFill="1" applyAlignment="1">
      <alignment/>
    </xf>
    <xf numFmtId="0" fontId="0" fillId="38" borderId="0" xfId="0" applyFill="1" applyAlignment="1">
      <alignment horizontal="center"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right"/>
    </xf>
    <xf numFmtId="176" fontId="113" fillId="0" borderId="21" xfId="0" applyNumberFormat="1" applyFont="1" applyBorder="1" applyAlignment="1">
      <alignment horizontal="center"/>
    </xf>
    <xf numFmtId="180" fontId="113" fillId="0" borderId="21" xfId="0" applyNumberFormat="1" applyFont="1" applyBorder="1" applyAlignment="1">
      <alignment horizontal="center"/>
    </xf>
    <xf numFmtId="0" fontId="0" fillId="39" borderId="39" xfId="0" applyFill="1" applyBorder="1" applyAlignment="1">
      <alignment/>
    </xf>
    <xf numFmtId="0" fontId="0" fillId="40" borderId="46" xfId="0" applyFill="1" applyBorder="1" applyAlignment="1">
      <alignment/>
    </xf>
    <xf numFmtId="0" fontId="0" fillId="0" borderId="44" xfId="0" applyBorder="1" applyAlignment="1">
      <alignment/>
    </xf>
    <xf numFmtId="0" fontId="0" fillId="35" borderId="39" xfId="0" applyFill="1" applyBorder="1" applyAlignment="1">
      <alignment/>
    </xf>
    <xf numFmtId="0" fontId="0" fillId="34" borderId="48" xfId="0" applyFill="1" applyBorder="1" applyAlignment="1">
      <alignment/>
    </xf>
    <xf numFmtId="0" fontId="0" fillId="37" borderId="4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4" fillId="0" borderId="64" xfId="0" applyFont="1" applyBorder="1" applyAlignment="1">
      <alignment horizontal="center" vertical="top"/>
    </xf>
    <xf numFmtId="0" fontId="92" fillId="0" borderId="65" xfId="0" applyFont="1" applyBorder="1" applyAlignment="1">
      <alignment horizontal="justify" vertical="top" wrapText="1"/>
    </xf>
    <xf numFmtId="0" fontId="92" fillId="0" borderId="66" xfId="0" applyFont="1" applyBorder="1" applyAlignment="1">
      <alignment horizontal="left" wrapText="1"/>
    </xf>
    <xf numFmtId="0" fontId="0" fillId="41" borderId="0" xfId="0" applyFill="1" applyAlignment="1">
      <alignment horizontal="center"/>
    </xf>
    <xf numFmtId="0" fontId="0" fillId="42" borderId="0" xfId="0" applyFill="1" applyAlignment="1">
      <alignment/>
    </xf>
    <xf numFmtId="0" fontId="100" fillId="34" borderId="0" xfId="0" applyFont="1" applyFill="1" applyBorder="1" applyAlignment="1">
      <alignment horizontal="center" vertical="center" wrapText="1"/>
    </xf>
    <xf numFmtId="3" fontId="101" fillId="35" borderId="0" xfId="0" applyNumberFormat="1" applyFont="1" applyFill="1" applyBorder="1" applyAlignment="1">
      <alignment horizontal="center"/>
    </xf>
    <xf numFmtId="0" fontId="100" fillId="35" borderId="0" xfId="0" applyFont="1" applyFill="1" applyBorder="1" applyAlignment="1">
      <alignment horizontal="center" vertical="center" wrapText="1"/>
    </xf>
    <xf numFmtId="4" fontId="101" fillId="35" borderId="0" xfId="0" applyNumberFormat="1" applyFont="1" applyFill="1" applyBorder="1" applyAlignment="1">
      <alignment horizontal="center"/>
    </xf>
    <xf numFmtId="0" fontId="100" fillId="35" borderId="0" xfId="0" applyFont="1" applyFill="1" applyBorder="1" applyAlignment="1">
      <alignment horizontal="center" vertical="top" wrapText="1"/>
    </xf>
    <xf numFmtId="0" fontId="101" fillId="35" borderId="0" xfId="0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94" fillId="0" borderId="41" xfId="0" applyFont="1" applyFill="1" applyBorder="1" applyAlignment="1">
      <alignment horizontal="center"/>
    </xf>
    <xf numFmtId="0" fontId="94" fillId="0" borderId="64" xfId="0" applyFont="1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0" fillId="37" borderId="66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41" borderId="0" xfId="0" applyFill="1" applyAlignment="1">
      <alignment/>
    </xf>
    <xf numFmtId="0" fontId="0" fillId="0" borderId="46" xfId="0" applyBorder="1" applyAlignment="1">
      <alignment wrapText="1"/>
    </xf>
    <xf numFmtId="0" fontId="101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2" fillId="0" borderId="67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90" fillId="39" borderId="39" xfId="0" applyFont="1" applyFill="1" applyBorder="1" applyAlignment="1">
      <alignment/>
    </xf>
    <xf numFmtId="0" fontId="0" fillId="39" borderId="43" xfId="0" applyFill="1" applyBorder="1" applyAlignment="1">
      <alignment/>
    </xf>
    <xf numFmtId="0" fontId="94" fillId="39" borderId="43" xfId="0" applyFont="1" applyFill="1" applyBorder="1" applyAlignment="1">
      <alignment horizontal="center"/>
    </xf>
    <xf numFmtId="0" fontId="94" fillId="39" borderId="10" xfId="0" applyFont="1" applyFill="1" applyBorder="1" applyAlignment="1">
      <alignment horizontal="center"/>
    </xf>
    <xf numFmtId="0" fontId="0" fillId="39" borderId="48" xfId="0" applyFill="1" applyBorder="1" applyAlignment="1">
      <alignment horizontal="center"/>
    </xf>
    <xf numFmtId="0" fontId="92" fillId="39" borderId="0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left"/>
    </xf>
    <xf numFmtId="0" fontId="93" fillId="39" borderId="48" xfId="0" applyFont="1" applyFill="1" applyBorder="1" applyAlignment="1">
      <alignment horizontal="center"/>
    </xf>
    <xf numFmtId="0" fontId="93" fillId="39" borderId="46" xfId="0" applyFont="1" applyFill="1" applyBorder="1" applyAlignment="1">
      <alignment horizontal="center"/>
    </xf>
    <xf numFmtId="0" fontId="92" fillId="39" borderId="44" xfId="0" applyFont="1" applyFill="1" applyBorder="1" applyAlignment="1">
      <alignment/>
    </xf>
    <xf numFmtId="0" fontId="0" fillId="39" borderId="15" xfId="0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44" xfId="0" applyFill="1" applyBorder="1" applyAlignment="1">
      <alignment horizontal="center"/>
    </xf>
    <xf numFmtId="0" fontId="94" fillId="39" borderId="41" xfId="0" applyFont="1" applyFill="1" applyBorder="1" applyAlignment="1">
      <alignment horizontal="center"/>
    </xf>
    <xf numFmtId="0" fontId="94" fillId="39" borderId="42" xfId="0" applyFont="1" applyFill="1" applyBorder="1" applyAlignment="1">
      <alignment horizontal="center"/>
    </xf>
    <xf numFmtId="0" fontId="94" fillId="39" borderId="64" xfId="0" applyFont="1" applyFill="1" applyBorder="1" applyAlignment="1">
      <alignment horizontal="center"/>
    </xf>
    <xf numFmtId="0" fontId="94" fillId="39" borderId="12" xfId="0" applyFont="1" applyFill="1" applyBorder="1" applyAlignment="1">
      <alignment horizontal="center"/>
    </xf>
    <xf numFmtId="0" fontId="92" fillId="39" borderId="21" xfId="0" applyFont="1" applyFill="1" applyBorder="1" applyAlignment="1">
      <alignment horizontal="left"/>
    </xf>
    <xf numFmtId="0" fontId="92" fillId="39" borderId="65" xfId="0" applyFont="1" applyFill="1" applyBorder="1" applyAlignment="1">
      <alignment horizontal="left"/>
    </xf>
    <xf numFmtId="0" fontId="92" fillId="39" borderId="13" xfId="0" applyFont="1" applyFill="1" applyBorder="1" applyAlignment="1">
      <alignment horizontal="justify"/>
    </xf>
    <xf numFmtId="0" fontId="0" fillId="39" borderId="65" xfId="0" applyFill="1" applyBorder="1" applyAlignment="1">
      <alignment horizontal="center"/>
    </xf>
    <xf numFmtId="0" fontId="95" fillId="39" borderId="25" xfId="0" applyFont="1" applyFill="1" applyBorder="1" applyAlignment="1">
      <alignment horizontal="center"/>
    </xf>
    <xf numFmtId="0" fontId="92" fillId="39" borderId="21" xfId="0" applyFont="1" applyFill="1" applyBorder="1" applyAlignment="1">
      <alignment horizontal="justify"/>
    </xf>
    <xf numFmtId="0" fontId="92" fillId="39" borderId="65" xfId="0" applyFont="1" applyFill="1" applyBorder="1" applyAlignment="1">
      <alignment horizontal="justify"/>
    </xf>
    <xf numFmtId="0" fontId="0" fillId="39" borderId="0" xfId="0" applyFill="1" applyAlignment="1">
      <alignment horizontal="center"/>
    </xf>
    <xf numFmtId="0" fontId="92" fillId="39" borderId="13" xfId="0" applyFont="1" applyFill="1" applyBorder="1" applyAlignment="1">
      <alignment horizontal="left"/>
    </xf>
    <xf numFmtId="4" fontId="0" fillId="43" borderId="40" xfId="0" applyNumberFormat="1" applyFill="1" applyBorder="1" applyAlignment="1">
      <alignment/>
    </xf>
    <xf numFmtId="3" fontId="0" fillId="43" borderId="40" xfId="0" applyNumberFormat="1" applyFill="1" applyBorder="1" applyAlignment="1">
      <alignment/>
    </xf>
    <xf numFmtId="0" fontId="0" fillId="39" borderId="0" xfId="0" applyFill="1" applyAlignment="1">
      <alignment/>
    </xf>
    <xf numFmtId="0" fontId="0" fillId="9" borderId="0" xfId="0" applyFill="1" applyAlignment="1">
      <alignment horizontal="center"/>
    </xf>
    <xf numFmtId="0" fontId="128" fillId="9" borderId="17" xfId="0" applyFont="1" applyFill="1" applyBorder="1" applyAlignment="1">
      <alignment horizontal="left" vertical="top" wrapText="1"/>
    </xf>
    <xf numFmtId="0" fontId="0" fillId="9" borderId="11" xfId="0" applyFill="1" applyBorder="1" applyAlignment="1">
      <alignment/>
    </xf>
    <xf numFmtId="0" fontId="98" fillId="9" borderId="19" xfId="0" applyFont="1" applyFill="1" applyBorder="1" applyAlignment="1">
      <alignment horizontal="left" wrapText="1"/>
    </xf>
    <xf numFmtId="0" fontId="90" fillId="9" borderId="17" xfId="0" applyFont="1" applyFill="1" applyBorder="1" applyAlignment="1">
      <alignment horizontal="left" vertical="center" wrapText="1"/>
    </xf>
    <xf numFmtId="0" fontId="98" fillId="9" borderId="17" xfId="0" applyFont="1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8" xfId="0" applyFill="1" applyBorder="1" applyAlignment="1">
      <alignment wrapText="1"/>
    </xf>
    <xf numFmtId="0" fontId="90" fillId="9" borderId="0" xfId="0" applyFont="1" applyFill="1" applyAlignment="1">
      <alignment/>
    </xf>
    <xf numFmtId="0" fontId="115" fillId="43" borderId="0" xfId="0" applyFont="1" applyFill="1" applyBorder="1" applyAlignment="1">
      <alignment horizontal="center" vertical="top" wrapText="1"/>
    </xf>
    <xf numFmtId="0" fontId="0" fillId="43" borderId="0" xfId="0" applyFill="1" applyAlignment="1">
      <alignment horizontal="center"/>
    </xf>
    <xf numFmtId="0" fontId="0" fillId="0" borderId="39" xfId="0" applyBorder="1" applyAlignment="1">
      <alignment wrapText="1"/>
    </xf>
    <xf numFmtId="0" fontId="0" fillId="0" borderId="48" xfId="0" applyBorder="1" applyAlignment="1">
      <alignment wrapText="1"/>
    </xf>
    <xf numFmtId="179" fontId="0" fillId="34" borderId="0" xfId="0" applyNumberFormat="1" applyFill="1" applyAlignment="1">
      <alignment horizontal="center"/>
    </xf>
    <xf numFmtId="0" fontId="94" fillId="39" borderId="0" xfId="0" applyFont="1" applyFill="1" applyBorder="1" applyAlignment="1">
      <alignment horizontal="center"/>
    </xf>
    <xf numFmtId="0" fontId="94" fillId="0" borderId="65" xfId="0" applyFont="1" applyBorder="1" applyAlignment="1">
      <alignment horizontal="left" wrapText="1"/>
    </xf>
    <xf numFmtId="0" fontId="94" fillId="0" borderId="55" xfId="0" applyFont="1" applyBorder="1" applyAlignment="1">
      <alignment horizontal="left" wrapText="1"/>
    </xf>
    <xf numFmtId="3" fontId="0" fillId="43" borderId="0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6" fontId="0" fillId="36" borderId="0" xfId="0" applyNumberFormat="1" applyFill="1" applyAlignment="1">
      <alignment horizontal="center"/>
    </xf>
    <xf numFmtId="176" fontId="0" fillId="34" borderId="0" xfId="0" applyNumberFormat="1" applyFill="1" applyAlignment="1">
      <alignment horizontal="center"/>
    </xf>
    <xf numFmtId="3" fontId="0" fillId="36" borderId="0" xfId="0" applyNumberFormat="1" applyFill="1" applyBorder="1" applyAlignment="1">
      <alignment horizontal="center"/>
    </xf>
    <xf numFmtId="0" fontId="100" fillId="36" borderId="0" xfId="0" applyFont="1" applyFill="1" applyBorder="1" applyAlignment="1">
      <alignment horizontal="center" vertical="center" wrapText="1"/>
    </xf>
    <xf numFmtId="0" fontId="92" fillId="8" borderId="0" xfId="0" applyFont="1" applyFill="1" applyAlignment="1">
      <alignment/>
    </xf>
    <xf numFmtId="0" fontId="0" fillId="36" borderId="0" xfId="0" applyFill="1" applyBorder="1" applyAlignment="1">
      <alignment horizontal="center" vertical="center"/>
    </xf>
    <xf numFmtId="0" fontId="90" fillId="0" borderId="68" xfId="0" applyFont="1" applyBorder="1" applyAlignment="1">
      <alignment/>
    </xf>
    <xf numFmtId="0" fontId="0" fillId="0" borderId="69" xfId="0" applyBorder="1" applyAlignment="1">
      <alignment/>
    </xf>
    <xf numFmtId="0" fontId="94" fillId="0" borderId="69" xfId="0" applyFont="1" applyFill="1" applyBorder="1" applyAlignment="1">
      <alignment horizontal="center"/>
    </xf>
    <xf numFmtId="0" fontId="94" fillId="0" borderId="70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35" borderId="72" xfId="0" applyFill="1" applyBorder="1" applyAlignment="1">
      <alignment/>
    </xf>
    <xf numFmtId="0" fontId="0" fillId="39" borderId="71" xfId="0" applyFill="1" applyBorder="1" applyAlignment="1">
      <alignment horizontal="left" vertical="center"/>
    </xf>
    <xf numFmtId="0" fontId="92" fillId="8" borderId="0" xfId="0" applyFont="1" applyFill="1" applyBorder="1" applyAlignment="1">
      <alignment wrapText="1"/>
    </xf>
    <xf numFmtId="0" fontId="0" fillId="35" borderId="72" xfId="0" applyFill="1" applyBorder="1" applyAlignment="1">
      <alignment vertical="center"/>
    </xf>
    <xf numFmtId="0" fontId="93" fillId="0" borderId="71" xfId="0" applyFont="1" applyBorder="1" applyAlignment="1">
      <alignment/>
    </xf>
    <xf numFmtId="0" fontId="93" fillId="0" borderId="73" xfId="0" applyFont="1" applyBorder="1" applyAlignment="1">
      <alignment/>
    </xf>
    <xf numFmtId="0" fontId="92" fillId="0" borderId="74" xfId="0" applyFont="1" applyBorder="1" applyAlignment="1">
      <alignment/>
    </xf>
    <xf numFmtId="0" fontId="0" fillId="36" borderId="74" xfId="0" applyFill="1" applyBorder="1" applyAlignment="1">
      <alignment horizontal="center"/>
    </xf>
    <xf numFmtId="0" fontId="0" fillId="35" borderId="75" xfId="0" applyFill="1" applyBorder="1" applyAlignment="1">
      <alignment/>
    </xf>
    <xf numFmtId="49" fontId="94" fillId="0" borderId="0" xfId="0" applyNumberFormat="1" applyFont="1" applyAlignment="1">
      <alignment horizontal="center"/>
    </xf>
    <xf numFmtId="0" fontId="94" fillId="0" borderId="0" xfId="0" applyFont="1" applyAlignment="1">
      <alignment horizontal="center"/>
    </xf>
    <xf numFmtId="49" fontId="94" fillId="0" borderId="0" xfId="0" applyNumberFormat="1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2" fillId="39" borderId="21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44" borderId="0" xfId="0" applyNumberFormat="1" applyFill="1" applyAlignment="1">
      <alignment/>
    </xf>
    <xf numFmtId="0" fontId="0" fillId="44" borderId="0" xfId="0" applyFill="1" applyAlignment="1">
      <alignment/>
    </xf>
    <xf numFmtId="0" fontId="92" fillId="39" borderId="25" xfId="0" applyFont="1" applyFill="1" applyBorder="1" applyAlignment="1">
      <alignment horizontal="center" vertical="center"/>
    </xf>
    <xf numFmtId="0" fontId="92" fillId="39" borderId="25" xfId="0" applyFont="1" applyFill="1" applyBorder="1" applyAlignment="1">
      <alignment horizontal="center"/>
    </xf>
    <xf numFmtId="0" fontId="93" fillId="39" borderId="25" xfId="0" applyFont="1" applyFill="1" applyBorder="1" applyAlignment="1">
      <alignment horizontal="center"/>
    </xf>
    <xf numFmtId="0" fontId="129" fillId="39" borderId="25" xfId="0" applyFont="1" applyFill="1" applyBorder="1" applyAlignment="1">
      <alignment horizontal="center"/>
    </xf>
    <xf numFmtId="4" fontId="0" fillId="0" borderId="40" xfId="0" applyNumberFormat="1" applyFill="1" applyBorder="1" applyAlignment="1">
      <alignment/>
    </xf>
    <xf numFmtId="0" fontId="94" fillId="39" borderId="50" xfId="0" applyFont="1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4" fontId="0" fillId="43" borderId="51" xfId="0" applyNumberFormat="1" applyFill="1" applyBorder="1" applyAlignment="1">
      <alignment/>
    </xf>
    <xf numFmtId="0" fontId="0" fillId="39" borderId="66" xfId="0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93" fillId="39" borderId="26" xfId="0" applyFont="1" applyFill="1" applyBorder="1" applyAlignment="1">
      <alignment horizontal="center"/>
    </xf>
    <xf numFmtId="0" fontId="92" fillId="39" borderId="27" xfId="0" applyFont="1" applyFill="1" applyBorder="1" applyAlignment="1">
      <alignment horizontal="left"/>
    </xf>
    <xf numFmtId="0" fontId="92" fillId="39" borderId="66" xfId="0" applyFont="1" applyFill="1" applyBorder="1" applyAlignment="1">
      <alignment horizontal="left"/>
    </xf>
    <xf numFmtId="0" fontId="92" fillId="39" borderId="14" xfId="0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44" borderId="48" xfId="0" applyFill="1" applyBorder="1" applyAlignment="1">
      <alignment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90" fillId="40" borderId="39" xfId="0" applyFont="1" applyFill="1" applyBorder="1" applyAlignment="1">
      <alignment horizontal="center" vertical="center" textRotation="90"/>
    </xf>
    <xf numFmtId="0" fontId="0" fillId="40" borderId="48" xfId="0" applyFill="1" applyBorder="1" applyAlignment="1">
      <alignment horizontal="center" vertical="center" textRotation="90"/>
    </xf>
    <xf numFmtId="0" fontId="0" fillId="37" borderId="0" xfId="0" applyFill="1" applyBorder="1" applyAlignment="1">
      <alignment horizontal="center"/>
    </xf>
    <xf numFmtId="0" fontId="108" fillId="0" borderId="48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2" fillId="39" borderId="0" xfId="0" applyFont="1" applyFill="1" applyAlignment="1">
      <alignment wrapText="1"/>
    </xf>
    <xf numFmtId="0" fontId="0" fillId="39" borderId="0" xfId="0" applyFill="1" applyAlignment="1">
      <alignment wrapText="1"/>
    </xf>
    <xf numFmtId="0" fontId="0" fillId="39" borderId="0" xfId="0" applyFill="1" applyAlignment="1">
      <alignment horizontal="center"/>
    </xf>
    <xf numFmtId="0" fontId="101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Alignment="1">
      <alignment wrapText="1"/>
    </xf>
    <xf numFmtId="0" fontId="9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94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92" fillId="0" borderId="25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99" fillId="0" borderId="10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2" fillId="0" borderId="21" xfId="0" applyFont="1" applyBorder="1" applyAlignment="1">
      <alignment horizontal="justify" wrapText="1"/>
    </xf>
    <xf numFmtId="0" fontId="100" fillId="0" borderId="22" xfId="0" applyFont="1" applyBorder="1" applyAlignment="1">
      <alignment horizontal="center" wrapText="1"/>
    </xf>
    <xf numFmtId="0" fontId="100" fillId="0" borderId="18" xfId="0" applyFont="1" applyBorder="1" applyAlignment="1">
      <alignment horizontal="center" wrapText="1"/>
    </xf>
    <xf numFmtId="0" fontId="100" fillId="0" borderId="23" xfId="0" applyFont="1" applyBorder="1" applyAlignment="1">
      <alignment horizontal="left" wrapText="1" indent="5"/>
    </xf>
    <xf numFmtId="0" fontId="100" fillId="0" borderId="24" xfId="0" applyFont="1" applyBorder="1" applyAlignment="1">
      <alignment horizontal="left" wrapText="1" indent="5"/>
    </xf>
    <xf numFmtId="0" fontId="100" fillId="0" borderId="20" xfId="0" applyFont="1" applyBorder="1" applyAlignment="1">
      <alignment horizontal="left" wrapText="1" indent="5"/>
    </xf>
    <xf numFmtId="0" fontId="100" fillId="0" borderId="48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103" fillId="0" borderId="46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00" fillId="0" borderId="39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100" fillId="0" borderId="46" xfId="0" applyFont="1" applyBorder="1" applyAlignment="1">
      <alignment horizontal="justify" wrapText="1"/>
    </xf>
    <xf numFmtId="0" fontId="100" fillId="35" borderId="17" xfId="0" applyFont="1" applyFill="1" applyBorder="1" applyAlignment="1">
      <alignment horizontal="center" vertical="center" wrapText="1"/>
    </xf>
    <xf numFmtId="0" fontId="100" fillId="35" borderId="18" xfId="0" applyFont="1" applyFill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wrapText="1"/>
    </xf>
    <xf numFmtId="0" fontId="9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100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76" xfId="0" applyBorder="1" applyAlignment="1">
      <alignment horizontal="center" wrapText="1"/>
    </xf>
    <xf numFmtId="0" fontId="0" fillId="0" borderId="77" xfId="0" applyBorder="1" applyAlignment="1">
      <alignment horizontal="center"/>
    </xf>
    <xf numFmtId="0" fontId="0" fillId="0" borderId="77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14" fillId="0" borderId="48" xfId="0" applyFont="1" applyBorder="1" applyAlignment="1">
      <alignment horizontal="justify" wrapText="1"/>
    </xf>
    <xf numFmtId="0" fontId="92" fillId="0" borderId="3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5" xfId="0" applyBorder="1" applyAlignment="1">
      <alignment wrapText="1"/>
    </xf>
    <xf numFmtId="0" fontId="94" fillId="0" borderId="39" xfId="0" applyFont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8" fillId="0" borderId="17" xfId="0" applyFont="1" applyFill="1" applyBorder="1" applyAlignment="1">
      <alignment horizontal="center" vertical="top" wrapText="1"/>
    </xf>
    <xf numFmtId="0" fontId="108" fillId="0" borderId="78" xfId="0" applyFont="1" applyFill="1" applyBorder="1" applyAlignment="1">
      <alignment horizontal="center" vertical="top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08" fillId="0" borderId="22" xfId="0" applyFont="1" applyFill="1" applyBorder="1" applyAlignment="1">
      <alignment horizontal="center" vertical="top" wrapText="1"/>
    </xf>
    <xf numFmtId="0" fontId="108" fillId="0" borderId="18" xfId="0" applyFont="1" applyFill="1" applyBorder="1" applyAlignment="1">
      <alignment horizontal="center" vertical="top" wrapText="1"/>
    </xf>
    <xf numFmtId="0" fontId="112" fillId="0" borderId="82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08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top" wrapText="1"/>
    </xf>
    <xf numFmtId="0" fontId="108" fillId="0" borderId="18" xfId="0" applyFont="1" applyBorder="1" applyAlignment="1">
      <alignment horizontal="center" vertical="top" wrapText="1"/>
    </xf>
    <xf numFmtId="0" fontId="108" fillId="0" borderId="17" xfId="0" applyFont="1" applyBorder="1" applyAlignment="1">
      <alignment horizontal="center" vertical="top" wrapText="1"/>
    </xf>
    <xf numFmtId="0" fontId="108" fillId="0" borderId="78" xfId="0" applyFont="1" applyBorder="1" applyAlignment="1">
      <alignment horizontal="center" vertical="top" wrapText="1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104" fillId="0" borderId="83" xfId="0" applyFont="1" applyBorder="1" applyAlignment="1">
      <alignment horizontal="center" vertical="top" wrapText="1"/>
    </xf>
    <xf numFmtId="0" fontId="104" fillId="0" borderId="31" xfId="0" applyFont="1" applyBorder="1" applyAlignment="1">
      <alignment horizontal="center" vertical="top" wrapText="1"/>
    </xf>
    <xf numFmtId="0" fontId="126" fillId="0" borderId="22" xfId="0" applyFont="1" applyBorder="1" applyAlignment="1">
      <alignment horizontal="center" vertical="top" wrapText="1"/>
    </xf>
    <xf numFmtId="0" fontId="126" fillId="0" borderId="18" xfId="0" applyFont="1" applyBorder="1" applyAlignment="1">
      <alignment horizontal="center" vertical="top" wrapText="1"/>
    </xf>
    <xf numFmtId="0" fontId="124" fillId="0" borderId="22" xfId="0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 vertical="center" textRotation="90"/>
    </xf>
    <xf numFmtId="0" fontId="12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99" fillId="0" borderId="17" xfId="0" applyFont="1" applyFill="1" applyBorder="1" applyAlignment="1">
      <alignment horizontal="center" wrapText="1"/>
    </xf>
    <xf numFmtId="0" fontId="99" fillId="0" borderId="18" xfId="0" applyFont="1" applyFill="1" applyBorder="1" applyAlignment="1">
      <alignment horizontal="center" wrapText="1"/>
    </xf>
    <xf numFmtId="0" fontId="116" fillId="0" borderId="39" xfId="0" applyFont="1" applyFill="1" applyBorder="1" applyAlignment="1">
      <alignment horizontal="center"/>
    </xf>
    <xf numFmtId="0" fontId="116" fillId="0" borderId="10" xfId="0" applyFont="1" applyFill="1" applyBorder="1" applyAlignment="1">
      <alignment horizontal="center"/>
    </xf>
    <xf numFmtId="0" fontId="116" fillId="0" borderId="39" xfId="0" applyFont="1" applyBorder="1" applyAlignment="1">
      <alignment horizontal="center"/>
    </xf>
    <xf numFmtId="0" fontId="116" fillId="0" borderId="10" xfId="0" applyFont="1" applyBorder="1" applyAlignment="1">
      <alignment horizontal="center"/>
    </xf>
    <xf numFmtId="0" fontId="130" fillId="0" borderId="84" xfId="0" applyFont="1" applyBorder="1" applyAlignment="1">
      <alignment horizontal="justify" vertical="top" wrapText="1"/>
    </xf>
    <xf numFmtId="0" fontId="99" fillId="33" borderId="17" xfId="0" applyFont="1" applyFill="1" applyBorder="1" applyAlignment="1">
      <alignment horizontal="center" wrapText="1"/>
    </xf>
    <xf numFmtId="0" fontId="99" fillId="33" borderId="18" xfId="0" applyFont="1" applyFill="1" applyBorder="1" applyAlignment="1">
      <alignment horizontal="center" wrapText="1"/>
    </xf>
    <xf numFmtId="0" fontId="124" fillId="0" borderId="22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109" fillId="0" borderId="23" xfId="0" applyFont="1" applyBorder="1" applyAlignment="1">
      <alignment horizontal="left" vertical="top" wrapText="1"/>
    </xf>
    <xf numFmtId="0" fontId="109" fillId="0" borderId="44" xfId="0" applyFont="1" applyBorder="1" applyAlignment="1">
      <alignment horizontal="left" vertical="top" wrapText="1"/>
    </xf>
    <xf numFmtId="0" fontId="110" fillId="0" borderId="23" xfId="0" applyFont="1" applyBorder="1" applyAlignment="1">
      <alignment horizontal="left" wrapText="1"/>
    </xf>
    <xf numFmtId="0" fontId="110" fillId="0" borderId="24" xfId="0" applyFont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638175</xdr:colOff>
      <xdr:row>38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566737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11.00390625" defaultRowHeight="14.25"/>
  <sheetData/>
  <sheetProtection password="EB27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9" sqref="A9"/>
    </sheetView>
  </sheetViews>
  <sheetFormatPr defaultColWidth="11.00390625" defaultRowHeight="14.25"/>
  <cols>
    <col min="3" max="3" width="2.625" style="0" customWidth="1"/>
    <col min="6" max="6" width="14.625" style="0" customWidth="1"/>
    <col min="7" max="7" width="21.875" style="0" customWidth="1"/>
  </cols>
  <sheetData>
    <row r="2" ht="17.25">
      <c r="A2" s="212" t="s">
        <v>260</v>
      </c>
    </row>
    <row r="4" spans="1:9" ht="19.5" customHeight="1">
      <c r="A4" s="436" t="s">
        <v>489</v>
      </c>
      <c r="B4" s="437"/>
      <c r="C4" s="437"/>
      <c r="D4" s="437"/>
      <c r="E4" s="437"/>
      <c r="F4" s="437"/>
      <c r="G4" s="437"/>
      <c r="H4" s="437"/>
      <c r="I4" s="437"/>
    </row>
    <row r="5" spans="1:9" ht="19.5" customHeight="1">
      <c r="A5" s="437"/>
      <c r="B5" s="437"/>
      <c r="C5" s="437"/>
      <c r="D5" s="437"/>
      <c r="E5" s="437"/>
      <c r="F5" s="437"/>
      <c r="G5" s="437"/>
      <c r="H5" s="437"/>
      <c r="I5" s="437"/>
    </row>
    <row r="6" spans="1:9" ht="19.5" customHeight="1">
      <c r="A6" s="437"/>
      <c r="B6" s="437"/>
      <c r="C6" s="437"/>
      <c r="D6" s="437"/>
      <c r="E6" s="437"/>
      <c r="F6" s="437"/>
      <c r="G6" s="437"/>
      <c r="H6" s="437"/>
      <c r="I6" s="437"/>
    </row>
    <row r="8" ht="13.5">
      <c r="A8" t="s">
        <v>490</v>
      </c>
    </row>
    <row r="10" ht="13.5">
      <c r="B10" s="9" t="s">
        <v>262</v>
      </c>
    </row>
    <row r="11" ht="14.25" thickBot="1"/>
    <row r="12" spans="2:7" ht="13.5">
      <c r="B12" s="304"/>
      <c r="C12" s="172"/>
      <c r="D12" s="172" t="s">
        <v>261</v>
      </c>
      <c r="E12" s="172"/>
      <c r="F12" s="131"/>
      <c r="G12" s="438" t="s">
        <v>328</v>
      </c>
    </row>
    <row r="13" spans="2:7" ht="13.5">
      <c r="B13" s="435"/>
      <c r="C13" s="48"/>
      <c r="D13" s="48" t="s">
        <v>488</v>
      </c>
      <c r="E13" s="48"/>
      <c r="F13" s="175"/>
      <c r="G13" s="439"/>
    </row>
    <row r="14" spans="2:7" ht="14.25" thickBot="1">
      <c r="B14" s="305"/>
      <c r="C14" s="306"/>
      <c r="D14" s="306" t="s">
        <v>297</v>
      </c>
      <c r="E14" s="306"/>
      <c r="F14" s="163"/>
      <c r="G14" s="440"/>
    </row>
    <row r="15" ht="13.5">
      <c r="D15" t="s">
        <v>113</v>
      </c>
    </row>
    <row r="16" ht="14.25" thickBot="1"/>
    <row r="17" spans="2:7" ht="13.5">
      <c r="B17" s="307"/>
      <c r="C17" s="172"/>
      <c r="D17" s="172" t="s">
        <v>333</v>
      </c>
      <c r="E17" s="172"/>
      <c r="F17" s="131"/>
      <c r="G17" s="441" t="s">
        <v>329</v>
      </c>
    </row>
    <row r="18" spans="2:7" ht="13.5">
      <c r="B18" s="173"/>
      <c r="C18" s="48"/>
      <c r="D18" s="48"/>
      <c r="E18" s="48"/>
      <c r="F18" s="175"/>
      <c r="G18" s="442"/>
    </row>
    <row r="19" spans="2:7" ht="13.5">
      <c r="B19" s="308"/>
      <c r="C19" s="48"/>
      <c r="D19" s="48" t="s">
        <v>263</v>
      </c>
      <c r="E19" s="48"/>
      <c r="F19" s="175"/>
      <c r="G19" s="442"/>
    </row>
    <row r="20" spans="2:7" ht="13.5">
      <c r="B20" s="173"/>
      <c r="C20" s="48"/>
      <c r="D20" s="48"/>
      <c r="E20" s="48"/>
      <c r="F20" s="175"/>
      <c r="G20" s="442"/>
    </row>
    <row r="21" spans="2:7" ht="14.25" thickBot="1">
      <c r="B21" s="309"/>
      <c r="C21" s="306"/>
      <c r="D21" s="306" t="s">
        <v>264</v>
      </c>
      <c r="E21" s="306"/>
      <c r="F21" s="163"/>
      <c r="G21" s="443"/>
    </row>
  </sheetData>
  <sheetProtection/>
  <mergeCells count="3">
    <mergeCell ref="A4:I6"/>
    <mergeCell ref="G12:G14"/>
    <mergeCell ref="G17:G2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J93"/>
  <sheetViews>
    <sheetView zoomScalePageLayoutView="0" workbookViewId="0" topLeftCell="A19">
      <selection activeCell="E47" sqref="E47"/>
    </sheetView>
  </sheetViews>
  <sheetFormatPr defaultColWidth="11.00390625" defaultRowHeight="14.25"/>
  <cols>
    <col min="1" max="1" width="11.00390625" style="3" customWidth="1"/>
    <col min="2" max="2" width="56.375" style="0" customWidth="1"/>
    <col min="3" max="3" width="2.375" style="0" customWidth="1"/>
    <col min="4" max="4" width="0.74609375" style="0" customWidth="1"/>
    <col min="5" max="5" width="31.50390625" style="0" customWidth="1"/>
    <col min="7" max="7" width="11.00390625" style="3" customWidth="1"/>
    <col min="8" max="8" width="0.875" style="312" customWidth="1"/>
    <col min="9" max="9" width="19.375" style="0" customWidth="1"/>
    <col min="10" max="10" width="23.625" style="0" customWidth="1"/>
    <col min="11" max="11" width="55.00390625" style="0" customWidth="1"/>
  </cols>
  <sheetData>
    <row r="1" ht="17.25">
      <c r="A1" s="112" t="s">
        <v>475</v>
      </c>
    </row>
    <row r="2" ht="13.5">
      <c r="G2" s="83"/>
    </row>
    <row r="3" ht="15.75" thickBot="1">
      <c r="A3" s="113" t="s">
        <v>222</v>
      </c>
    </row>
    <row r="4" spans="1:8" ht="13.5">
      <c r="A4" s="352" t="s">
        <v>0</v>
      </c>
      <c r="B4" s="353" t="s">
        <v>1</v>
      </c>
      <c r="C4" s="354"/>
      <c r="D4" s="354"/>
      <c r="E4" s="355" t="s">
        <v>2</v>
      </c>
      <c r="F4" s="425" t="s">
        <v>10</v>
      </c>
      <c r="G4" s="354" t="s">
        <v>88</v>
      </c>
      <c r="H4" s="341"/>
    </row>
    <row r="5" spans="1:8" ht="26.25">
      <c r="A5" s="420" t="s">
        <v>406</v>
      </c>
      <c r="B5" s="413" t="s">
        <v>378</v>
      </c>
      <c r="C5" s="357"/>
      <c r="D5" s="357"/>
      <c r="E5" s="358" t="s">
        <v>407</v>
      </c>
      <c r="F5" s="365"/>
      <c r="G5" s="359" t="s">
        <v>464</v>
      </c>
      <c r="H5" s="426"/>
    </row>
    <row r="6" spans="1:8" ht="15">
      <c r="A6" s="421" t="s">
        <v>408</v>
      </c>
      <c r="B6" s="356" t="s">
        <v>409</v>
      </c>
      <c r="C6" s="357"/>
      <c r="D6" s="357"/>
      <c r="E6" s="358" t="s">
        <v>410</v>
      </c>
      <c r="F6" s="365">
        <v>70</v>
      </c>
      <c r="G6" s="359" t="s">
        <v>425</v>
      </c>
      <c r="H6" s="426"/>
    </row>
    <row r="7" spans="1:8" ht="15">
      <c r="A7" s="360" t="s">
        <v>4</v>
      </c>
      <c r="B7" s="361" t="s">
        <v>411</v>
      </c>
      <c r="C7" s="362"/>
      <c r="D7" s="362"/>
      <c r="E7" s="358" t="s">
        <v>3</v>
      </c>
      <c r="F7" s="365">
        <v>720</v>
      </c>
      <c r="G7" s="359" t="s">
        <v>469</v>
      </c>
      <c r="H7" s="426"/>
    </row>
    <row r="8" spans="1:8" ht="27">
      <c r="A8" s="360" t="s">
        <v>412</v>
      </c>
      <c r="B8" s="361" t="s">
        <v>424</v>
      </c>
      <c r="C8" s="362"/>
      <c r="D8" s="362"/>
      <c r="E8" s="358" t="s">
        <v>407</v>
      </c>
      <c r="F8" s="424">
        <v>0</v>
      </c>
      <c r="G8" s="359" t="s">
        <v>469</v>
      </c>
      <c r="H8" s="426"/>
    </row>
    <row r="9" spans="1:8" ht="15">
      <c r="A9" s="360" t="s">
        <v>335</v>
      </c>
      <c r="B9" s="361" t="s">
        <v>221</v>
      </c>
      <c r="C9" s="362"/>
      <c r="D9" s="362"/>
      <c r="E9" s="358" t="s">
        <v>407</v>
      </c>
      <c r="F9" s="366">
        <f>70*1500</f>
        <v>105000</v>
      </c>
      <c r="G9" s="359" t="s">
        <v>464</v>
      </c>
      <c r="H9" s="426"/>
    </row>
    <row r="10" spans="1:8" ht="15">
      <c r="A10" s="360" t="s">
        <v>465</v>
      </c>
      <c r="B10" s="361" t="s">
        <v>466</v>
      </c>
      <c r="C10" s="362"/>
      <c r="D10" s="362"/>
      <c r="E10" s="358" t="s">
        <v>407</v>
      </c>
      <c r="F10" s="366">
        <f>70*150</f>
        <v>10500</v>
      </c>
      <c r="G10" s="359" t="s">
        <v>464</v>
      </c>
      <c r="H10" s="426"/>
    </row>
    <row r="11" spans="1:8" ht="15">
      <c r="A11" s="422" t="s">
        <v>413</v>
      </c>
      <c r="B11" s="356" t="s">
        <v>419</v>
      </c>
      <c r="C11" s="357"/>
      <c r="D11" s="357"/>
      <c r="E11" s="358" t="s">
        <v>407</v>
      </c>
      <c r="F11" s="365">
        <v>0</v>
      </c>
      <c r="G11" s="359" t="s">
        <v>11</v>
      </c>
      <c r="H11" s="426"/>
    </row>
    <row r="12" spans="1:8" ht="15">
      <c r="A12" s="422" t="s">
        <v>336</v>
      </c>
      <c r="B12" s="356" t="s">
        <v>418</v>
      </c>
      <c r="C12" s="357"/>
      <c r="D12" s="357"/>
      <c r="E12" s="358" t="s">
        <v>407</v>
      </c>
      <c r="F12" s="365">
        <v>0.6</v>
      </c>
      <c r="G12" s="359" t="s">
        <v>11</v>
      </c>
      <c r="H12" s="426"/>
    </row>
    <row r="13" spans="1:8" ht="15">
      <c r="A13" s="422" t="s">
        <v>5</v>
      </c>
      <c r="B13" s="356" t="s">
        <v>6</v>
      </c>
      <c r="C13" s="357"/>
      <c r="D13" s="357"/>
      <c r="E13" s="358" t="s">
        <v>7</v>
      </c>
      <c r="F13" s="365"/>
      <c r="G13" s="359" t="s">
        <v>12</v>
      </c>
      <c r="H13" s="426"/>
    </row>
    <row r="14" spans="1:8" ht="15">
      <c r="A14" s="423" t="s">
        <v>337</v>
      </c>
      <c r="B14" s="356" t="s">
        <v>8</v>
      </c>
      <c r="C14" s="357"/>
      <c r="D14" s="357"/>
      <c r="E14" s="358" t="s">
        <v>7</v>
      </c>
      <c r="F14" s="365"/>
      <c r="G14" s="359" t="s">
        <v>12</v>
      </c>
      <c r="H14" s="426"/>
    </row>
    <row r="15" spans="1:8" ht="40.5">
      <c r="A15" s="423" t="s">
        <v>414</v>
      </c>
      <c r="B15" s="361" t="s">
        <v>416</v>
      </c>
      <c r="C15" s="362"/>
      <c r="D15" s="362"/>
      <c r="E15" s="364" t="s">
        <v>407</v>
      </c>
      <c r="F15" s="365">
        <v>48.9</v>
      </c>
      <c r="G15" s="359" t="s">
        <v>12</v>
      </c>
      <c r="H15" s="426"/>
    </row>
    <row r="16" spans="1:8" ht="40.5">
      <c r="A16" s="423" t="s">
        <v>415</v>
      </c>
      <c r="B16" s="361" t="s">
        <v>417</v>
      </c>
      <c r="C16" s="362"/>
      <c r="D16" s="362"/>
      <c r="E16" s="364"/>
      <c r="F16" s="365"/>
      <c r="G16" s="359"/>
      <c r="H16" s="426"/>
    </row>
    <row r="17" spans="1:8" ht="27">
      <c r="A17" s="423" t="s">
        <v>420</v>
      </c>
      <c r="B17" s="361" t="s">
        <v>421</v>
      </c>
      <c r="C17" s="362"/>
      <c r="D17" s="362"/>
      <c r="E17" s="364" t="s">
        <v>407</v>
      </c>
      <c r="F17" s="365">
        <v>37.7</v>
      </c>
      <c r="G17" s="359" t="s">
        <v>12</v>
      </c>
      <c r="H17" s="426"/>
    </row>
    <row r="18" spans="1:10" ht="27">
      <c r="A18" s="423" t="s">
        <v>422</v>
      </c>
      <c r="B18" s="361" t="s">
        <v>423</v>
      </c>
      <c r="C18" s="362"/>
      <c r="D18" s="362"/>
      <c r="E18" s="364"/>
      <c r="F18" s="365"/>
      <c r="G18" s="359"/>
      <c r="H18" s="426"/>
      <c r="I18" s="47"/>
      <c r="J18" s="414"/>
    </row>
    <row r="19" spans="1:10" ht="15.75" thickBot="1">
      <c r="A19" s="430" t="s">
        <v>476</v>
      </c>
      <c r="B19" s="431" t="s">
        <v>9</v>
      </c>
      <c r="C19" s="432"/>
      <c r="D19" s="432"/>
      <c r="E19" s="433" t="s">
        <v>407</v>
      </c>
      <c r="F19" s="427"/>
      <c r="G19" s="428" t="s">
        <v>12</v>
      </c>
      <c r="H19" s="429"/>
      <c r="I19" s="47"/>
      <c r="J19" s="414"/>
    </row>
    <row r="20" spans="1:7" ht="13.5">
      <c r="A20" s="295"/>
      <c r="B20" s="295"/>
      <c r="C20" s="295"/>
      <c r="D20" s="295"/>
      <c r="E20" s="295" t="s">
        <v>315</v>
      </c>
      <c r="F20" s="295"/>
      <c r="G20" s="221"/>
    </row>
    <row r="21" spans="1:7" ht="13.5">
      <c r="A21" s="368"/>
      <c r="B21" s="377" t="s">
        <v>314</v>
      </c>
      <c r="C21" s="377"/>
      <c r="D21" s="377"/>
      <c r="E21" s="378" t="s">
        <v>313</v>
      </c>
      <c r="F21" s="295"/>
      <c r="G21" s="226"/>
    </row>
    <row r="22" spans="1:7" ht="13.5">
      <c r="A22" s="368"/>
      <c r="B22" s="377" t="s">
        <v>321</v>
      </c>
      <c r="C22" s="377"/>
      <c r="D22" s="377"/>
      <c r="E22" s="379" t="s">
        <v>21</v>
      </c>
      <c r="F22" s="295"/>
      <c r="G22" s="226"/>
    </row>
    <row r="23" spans="1:7" ht="14.25" thickBot="1">
      <c r="A23" s="295"/>
      <c r="B23" s="295"/>
      <c r="C23" s="295"/>
      <c r="D23" s="295"/>
      <c r="E23" s="295"/>
      <c r="F23" s="295"/>
      <c r="G23" s="226"/>
    </row>
    <row r="24" spans="1:8" ht="13.5">
      <c r="A24" s="338" t="s">
        <v>237</v>
      </c>
      <c r="B24" s="339"/>
      <c r="C24" s="339"/>
      <c r="D24" s="339"/>
      <c r="E24" s="339"/>
      <c r="F24" s="340" t="s">
        <v>10</v>
      </c>
      <c r="G24" s="341" t="s">
        <v>88</v>
      </c>
      <c r="H24" s="383"/>
    </row>
    <row r="25" spans="1:8" ht="15.75">
      <c r="A25" s="342" t="s">
        <v>338</v>
      </c>
      <c r="B25" s="343" t="s">
        <v>30</v>
      </c>
      <c r="C25" s="343"/>
      <c r="D25" s="343"/>
      <c r="E25" s="343" t="s">
        <v>113</v>
      </c>
      <c r="F25" s="350">
        <v>1.1</v>
      </c>
      <c r="G25" s="344" t="s">
        <v>22</v>
      </c>
      <c r="H25" s="383"/>
    </row>
    <row r="26" spans="1:8" ht="15.75">
      <c r="A26" s="342" t="s">
        <v>377</v>
      </c>
      <c r="B26" s="392" t="s">
        <v>378</v>
      </c>
      <c r="C26" s="343"/>
      <c r="D26" s="343"/>
      <c r="E26" s="343"/>
      <c r="F26" s="350">
        <v>8</v>
      </c>
      <c r="G26" s="344" t="s">
        <v>379</v>
      </c>
      <c r="H26" s="383"/>
    </row>
    <row r="27" spans="1:8" ht="15.75">
      <c r="A27" s="367" t="s">
        <v>348</v>
      </c>
      <c r="B27" s="449" t="s">
        <v>349</v>
      </c>
      <c r="C27" s="450"/>
      <c r="D27" s="450"/>
      <c r="E27" s="450"/>
      <c r="F27" s="386">
        <v>60</v>
      </c>
      <c r="G27" s="345" t="s">
        <v>12</v>
      </c>
      <c r="H27" s="383"/>
    </row>
    <row r="28" spans="1:8" ht="15">
      <c r="A28" s="346" t="s">
        <v>23</v>
      </c>
      <c r="B28" s="343" t="s">
        <v>28</v>
      </c>
      <c r="C28" s="343"/>
      <c r="D28" s="343"/>
      <c r="E28" s="343" t="s">
        <v>113</v>
      </c>
      <c r="F28" s="350">
        <v>35</v>
      </c>
      <c r="G28" s="344" t="s">
        <v>12</v>
      </c>
      <c r="H28" s="383"/>
    </row>
    <row r="29" spans="1:8" ht="15.75" thickBot="1">
      <c r="A29" s="347" t="s">
        <v>24</v>
      </c>
      <c r="B29" s="348" t="s">
        <v>29</v>
      </c>
      <c r="C29" s="348"/>
      <c r="D29" s="348"/>
      <c r="E29" s="348" t="s">
        <v>113</v>
      </c>
      <c r="F29" s="351">
        <v>25</v>
      </c>
      <c r="G29" s="349" t="s">
        <v>12</v>
      </c>
      <c r="H29" s="383"/>
    </row>
    <row r="30" spans="1:8" ht="15.75">
      <c r="A30" s="367" t="s">
        <v>354</v>
      </c>
      <c r="B30" s="367"/>
      <c r="C30" s="367"/>
      <c r="D30" s="367"/>
      <c r="E30" s="363" t="s">
        <v>37</v>
      </c>
      <c r="F30" s="363" t="s">
        <v>38</v>
      </c>
      <c r="G30" s="363" t="s">
        <v>42</v>
      </c>
      <c r="H30" s="383"/>
    </row>
    <row r="31" spans="1:8" ht="13.5">
      <c r="A31" s="363"/>
      <c r="B31" s="367" t="s">
        <v>39</v>
      </c>
      <c r="C31" s="367"/>
      <c r="D31" s="367"/>
      <c r="E31" s="451" t="s">
        <v>40</v>
      </c>
      <c r="F31" s="451"/>
      <c r="G31" s="363" t="s">
        <v>12</v>
      </c>
      <c r="H31" s="383"/>
    </row>
    <row r="32" spans="1:8" ht="13.5">
      <c r="A32" s="363"/>
      <c r="B32" s="367" t="s">
        <v>32</v>
      </c>
      <c r="C32" s="367"/>
      <c r="D32" s="367"/>
      <c r="E32" s="11">
        <v>0.95</v>
      </c>
      <c r="F32" s="11">
        <v>0.6</v>
      </c>
      <c r="G32" s="16">
        <v>35</v>
      </c>
      <c r="H32" s="383"/>
    </row>
    <row r="33" spans="1:8" ht="13.5">
      <c r="A33" s="363"/>
      <c r="B33" s="367" t="s">
        <v>33</v>
      </c>
      <c r="C33" s="367"/>
      <c r="D33" s="367"/>
      <c r="E33" s="11">
        <v>0.95</v>
      </c>
      <c r="F33" s="11">
        <v>0.6</v>
      </c>
      <c r="G33" s="16">
        <v>32</v>
      </c>
      <c r="H33" s="383"/>
    </row>
    <row r="34" spans="1:8" ht="13.5">
      <c r="A34" s="363"/>
      <c r="B34" s="367" t="s">
        <v>34</v>
      </c>
      <c r="C34" s="367"/>
      <c r="D34" s="367"/>
      <c r="E34" s="11">
        <v>0.95</v>
      </c>
      <c r="F34" s="11">
        <v>0.77</v>
      </c>
      <c r="G34" s="16">
        <v>29</v>
      </c>
      <c r="H34" s="383"/>
    </row>
    <row r="35" spans="1:8" ht="13.5">
      <c r="A35" s="363"/>
      <c r="B35" s="367" t="s">
        <v>35</v>
      </c>
      <c r="C35" s="367"/>
      <c r="D35" s="367"/>
      <c r="E35" s="11">
        <v>0.95</v>
      </c>
      <c r="F35" s="11">
        <v>0.77</v>
      </c>
      <c r="G35" s="16">
        <v>29</v>
      </c>
      <c r="H35" s="383"/>
    </row>
    <row r="36" spans="1:8" ht="13.5">
      <c r="A36" s="363"/>
      <c r="B36" s="367" t="s">
        <v>36</v>
      </c>
      <c r="C36" s="367"/>
      <c r="D36" s="367"/>
      <c r="E36" s="11">
        <v>0.6</v>
      </c>
      <c r="F36" s="11">
        <v>0.77</v>
      </c>
      <c r="G36" s="16">
        <v>34</v>
      </c>
      <c r="H36" s="383"/>
    </row>
    <row r="37" spans="1:8" ht="13.5">
      <c r="A37" s="363"/>
      <c r="B37" s="367"/>
      <c r="C37" s="367"/>
      <c r="D37" s="367"/>
      <c r="E37" s="367"/>
      <c r="F37" s="367"/>
      <c r="G37" s="363"/>
      <c r="H37" s="383"/>
    </row>
    <row r="38" spans="1:8" ht="13.5">
      <c r="A38" s="335"/>
      <c r="G38" s="335"/>
      <c r="H38" s="4"/>
    </row>
    <row r="39" spans="1:7" ht="13.5">
      <c r="A39" s="221"/>
      <c r="G39" s="221"/>
    </row>
    <row r="40" spans="1:8" ht="17.25">
      <c r="A40" s="112" t="s">
        <v>470</v>
      </c>
      <c r="G40"/>
      <c r="H40"/>
    </row>
    <row r="41" spans="1:8" ht="13.5">
      <c r="A41" s="83"/>
      <c r="G41"/>
      <c r="H41"/>
    </row>
    <row r="42" spans="1:8" ht="15.75" thickBot="1">
      <c r="A42" s="113" t="s">
        <v>471</v>
      </c>
      <c r="G42"/>
      <c r="H42"/>
    </row>
    <row r="43" spans="1:9" ht="13.5">
      <c r="A43" s="118" t="s">
        <v>0</v>
      </c>
      <c r="B43" s="119" t="s">
        <v>13</v>
      </c>
      <c r="C43" s="313"/>
      <c r="D43" s="313"/>
      <c r="E43" s="120" t="s">
        <v>2</v>
      </c>
      <c r="F43" s="326" t="s">
        <v>10</v>
      </c>
      <c r="G43" s="168" t="s">
        <v>88</v>
      </c>
      <c r="H43" s="327"/>
      <c r="I43" s="215" t="s">
        <v>265</v>
      </c>
    </row>
    <row r="44" spans="1:9" ht="15">
      <c r="A44" s="121" t="s">
        <v>339</v>
      </c>
      <c r="B44" s="116" t="s">
        <v>15</v>
      </c>
      <c r="C44" s="314"/>
      <c r="D44" s="314"/>
      <c r="E44" s="114" t="s">
        <v>491</v>
      </c>
      <c r="F44" s="283">
        <f>'calculation 4.'!E3</f>
        <v>115384.39479441133</v>
      </c>
      <c r="G44" s="324" t="s">
        <v>468</v>
      </c>
      <c r="H44" s="328"/>
      <c r="I44" s="169" t="s">
        <v>223</v>
      </c>
    </row>
    <row r="45" spans="1:9" ht="26.25">
      <c r="A45" s="121" t="s">
        <v>472</v>
      </c>
      <c r="B45" s="116" t="s">
        <v>16</v>
      </c>
      <c r="C45" s="314"/>
      <c r="D45" s="314"/>
      <c r="E45" s="114" t="s">
        <v>492</v>
      </c>
      <c r="F45" s="283">
        <f>'calculation 5.2'!E57+'calculation 5.2'!E55</f>
        <v>175.06233502433562</v>
      </c>
      <c r="G45" s="324" t="s">
        <v>464</v>
      </c>
      <c r="H45" s="328"/>
      <c r="I45" s="169" t="s">
        <v>474</v>
      </c>
    </row>
    <row r="46" spans="1:9" ht="27" thickBot="1">
      <c r="A46" s="122" t="s">
        <v>473</v>
      </c>
      <c r="B46" s="123" t="s">
        <v>17</v>
      </c>
      <c r="C46" s="315"/>
      <c r="D46" s="315"/>
      <c r="E46" s="124" t="s">
        <v>493</v>
      </c>
      <c r="F46" s="289">
        <f>'calculation 5.2'!E50</f>
        <v>156.14027411823295</v>
      </c>
      <c r="G46" s="325" t="s">
        <v>464</v>
      </c>
      <c r="H46" s="329"/>
      <c r="I46" s="171" t="s">
        <v>474</v>
      </c>
    </row>
    <row r="47" spans="6:8" ht="14.25" thickBot="1">
      <c r="F47" s="296"/>
      <c r="G47" s="297"/>
      <c r="H47" s="310"/>
    </row>
    <row r="48" spans="1:8" ht="3" customHeight="1" thickBot="1">
      <c r="A48" s="316"/>
      <c r="B48" s="332"/>
      <c r="C48" s="332"/>
      <c r="D48" s="317"/>
      <c r="E48" s="317"/>
      <c r="F48" s="330"/>
      <c r="G48" s="331"/>
      <c r="H48" s="331"/>
    </row>
    <row r="49" spans="1:9" ht="14.25" thickBot="1">
      <c r="A49" s="295"/>
      <c r="B49" s="368" t="s">
        <v>315</v>
      </c>
      <c r="C49" s="295"/>
      <c r="D49" s="317"/>
      <c r="E49" s="301" t="s">
        <v>322</v>
      </c>
      <c r="F49" s="446" t="str">
        <f>IF((F9+F10)&gt;('calculation 5.2'!K6*'calculation 5.2'!H6*F7/100),"design mistake","o.k.")</f>
        <v>design mistake</v>
      </c>
      <c r="G49" s="446"/>
      <c r="H49" s="331"/>
      <c r="I49" s="298"/>
    </row>
    <row r="50" spans="1:9" ht="3.75" customHeight="1" thickBot="1">
      <c r="A50" s="295"/>
      <c r="B50" s="368"/>
      <c r="C50" s="295"/>
      <c r="D50" s="317"/>
      <c r="E50" s="317"/>
      <c r="F50" s="317"/>
      <c r="G50" s="317"/>
      <c r="H50" s="317"/>
      <c r="I50" s="48"/>
    </row>
    <row r="51" spans="1:8" ht="13.5">
      <c r="A51" s="444" t="s">
        <v>310</v>
      </c>
      <c r="B51" s="369" t="s">
        <v>134</v>
      </c>
      <c r="C51" s="295"/>
      <c r="F51" s="300"/>
      <c r="G51" s="299"/>
      <c r="H51" s="310"/>
    </row>
    <row r="52" spans="1:5" ht="14.25" thickBot="1">
      <c r="A52" s="445"/>
      <c r="B52" s="374" t="s">
        <v>334</v>
      </c>
      <c r="C52" s="295"/>
      <c r="E52" s="214"/>
    </row>
    <row r="53" spans="1:3" ht="14.25" thickBot="1">
      <c r="A53" s="445"/>
      <c r="B53" s="370"/>
      <c r="C53" s="295"/>
    </row>
    <row r="54" spans="1:7" ht="15.75" thickBot="1">
      <c r="A54" s="445"/>
      <c r="B54" s="371" t="s">
        <v>306</v>
      </c>
      <c r="C54" s="295"/>
      <c r="E54" s="214"/>
      <c r="G54" s="221"/>
    </row>
    <row r="55" spans="1:7" ht="14.25" thickBot="1">
      <c r="A55" s="445"/>
      <c r="B55" s="375" t="s">
        <v>303</v>
      </c>
      <c r="C55" s="295"/>
      <c r="E55" s="214"/>
      <c r="G55" s="221"/>
    </row>
    <row r="56" spans="1:7" ht="14.25" thickBot="1">
      <c r="A56" s="445"/>
      <c r="B56" s="370"/>
      <c r="C56" s="295"/>
      <c r="E56" s="214"/>
      <c r="G56" s="221"/>
    </row>
    <row r="57" spans="1:5" ht="13.5">
      <c r="A57" s="445"/>
      <c r="B57" s="372" t="s">
        <v>193</v>
      </c>
      <c r="C57" s="295"/>
      <c r="E57" s="214"/>
    </row>
    <row r="58" spans="1:5" ht="14.25" thickBot="1">
      <c r="A58" s="445"/>
      <c r="B58" s="374" t="s">
        <v>197</v>
      </c>
      <c r="C58" s="295"/>
      <c r="E58" s="214"/>
    </row>
    <row r="59" spans="1:5" ht="14.25" thickBot="1">
      <c r="A59" s="445"/>
      <c r="B59" s="370"/>
      <c r="C59" s="295"/>
      <c r="E59" s="214"/>
    </row>
    <row r="60" spans="1:7" ht="15.75" thickBot="1">
      <c r="A60" s="445"/>
      <c r="B60" s="373" t="s">
        <v>311</v>
      </c>
      <c r="C60" s="295"/>
      <c r="E60" s="214"/>
      <c r="G60" s="221"/>
    </row>
    <row r="61" spans="1:8" ht="28.5" customHeight="1">
      <c r="A61" s="445"/>
      <c r="B61" s="372" t="s">
        <v>302</v>
      </c>
      <c r="C61" s="295"/>
      <c r="E61" s="447" t="s">
        <v>323</v>
      </c>
      <c r="F61" s="448"/>
      <c r="G61" s="448"/>
      <c r="H61" s="311"/>
    </row>
    <row r="62" spans="1:10" ht="14.25" thickBot="1">
      <c r="A62" s="445"/>
      <c r="B62" s="374" t="s">
        <v>298</v>
      </c>
      <c r="C62" s="295"/>
      <c r="E62" s="214"/>
      <c r="I62" s="83"/>
      <c r="J62" s="83"/>
    </row>
    <row r="63" spans="1:10" ht="27.75" thickBot="1">
      <c r="A63" s="445"/>
      <c r="B63" s="376" t="s">
        <v>51</v>
      </c>
      <c r="C63" s="295"/>
      <c r="E63" s="214"/>
      <c r="I63" s="83"/>
      <c r="J63" s="83"/>
    </row>
    <row r="64" spans="1:10" ht="13.5">
      <c r="A64" s="295"/>
      <c r="B64" s="295"/>
      <c r="C64" s="295"/>
      <c r="E64" s="214"/>
      <c r="I64" s="221"/>
      <c r="J64" s="221"/>
    </row>
    <row r="65" spans="1:10" ht="13.5">
      <c r="A65"/>
      <c r="E65" s="214"/>
      <c r="I65" s="221"/>
      <c r="J65" s="221"/>
    </row>
    <row r="66" spans="1:10" ht="13.5">
      <c r="A66"/>
      <c r="E66" s="214"/>
      <c r="I66" s="221"/>
      <c r="J66" s="221"/>
    </row>
    <row r="67" spans="1:10" ht="13.5">
      <c r="A67"/>
      <c r="E67" s="214"/>
      <c r="G67" s="312"/>
      <c r="I67" s="312"/>
      <c r="J67" s="221"/>
    </row>
    <row r="68" spans="1:10" ht="13.5">
      <c r="A68"/>
      <c r="E68" s="214"/>
      <c r="I68" s="221"/>
      <c r="J68" s="221"/>
    </row>
    <row r="69" spans="1:10" ht="13.5">
      <c r="A69"/>
      <c r="E69" s="214"/>
      <c r="I69" s="221"/>
      <c r="J69" s="221"/>
    </row>
    <row r="70" spans="1:10" ht="13.5">
      <c r="A70"/>
      <c r="E70" s="214"/>
      <c r="I70" s="221"/>
      <c r="J70" s="221"/>
    </row>
    <row r="71" spans="1:10" ht="13.5">
      <c r="A71"/>
      <c r="E71" s="214"/>
      <c r="I71" s="221"/>
      <c r="J71" s="221"/>
    </row>
    <row r="72" spans="1:10" ht="13.5">
      <c r="A72"/>
      <c r="E72" s="214"/>
      <c r="I72" s="221"/>
      <c r="J72" s="221"/>
    </row>
    <row r="73" spans="1:10" ht="13.5">
      <c r="A73"/>
      <c r="E73" s="214"/>
      <c r="I73" s="221"/>
      <c r="J73" s="221"/>
    </row>
    <row r="74" spans="1:10" ht="13.5">
      <c r="A74"/>
      <c r="E74" s="214"/>
      <c r="I74" s="221"/>
      <c r="J74" s="221"/>
    </row>
    <row r="75" spans="1:10" ht="13.5">
      <c r="A75"/>
      <c r="E75" s="214"/>
      <c r="I75" s="221"/>
      <c r="J75" s="221"/>
    </row>
    <row r="76" spans="1:10" ht="13.5">
      <c r="A76"/>
      <c r="E76" s="214"/>
      <c r="I76" s="221"/>
      <c r="J76" s="221"/>
    </row>
    <row r="77" spans="1:10" ht="13.5">
      <c r="A77"/>
      <c r="E77" s="214"/>
      <c r="I77" s="221"/>
      <c r="J77" s="221"/>
    </row>
    <row r="78" spans="1:10" ht="13.5">
      <c r="A78"/>
      <c r="E78" s="214"/>
      <c r="I78" s="221"/>
      <c r="J78" s="221"/>
    </row>
    <row r="79" spans="1:10" ht="13.5">
      <c r="A79"/>
      <c r="E79" s="214"/>
      <c r="I79" s="221"/>
      <c r="J79" s="221"/>
    </row>
    <row r="80" spans="1:10" ht="13.5">
      <c r="A80"/>
      <c r="E80" s="214"/>
      <c r="I80" s="221"/>
      <c r="J80" s="221"/>
    </row>
    <row r="81" spans="1:10" ht="13.5">
      <c r="A81"/>
      <c r="E81" s="214"/>
      <c r="I81" s="221"/>
      <c r="J81" s="221"/>
    </row>
    <row r="82" spans="1:10" ht="13.5">
      <c r="A82"/>
      <c r="E82" s="214"/>
      <c r="I82" s="221"/>
      <c r="J82" s="221"/>
    </row>
    <row r="83" spans="1:10" ht="13.5">
      <c r="A83"/>
      <c r="E83" s="214"/>
      <c r="I83" s="221"/>
      <c r="J83" s="221"/>
    </row>
    <row r="84" spans="1:10" ht="13.5">
      <c r="A84"/>
      <c r="E84" s="214"/>
      <c r="I84" s="221"/>
      <c r="J84" s="221"/>
    </row>
    <row r="85" spans="1:5" ht="13.5">
      <c r="A85"/>
      <c r="E85" s="214"/>
    </row>
    <row r="86" spans="1:8" ht="13.5">
      <c r="A86"/>
      <c r="E86" s="214"/>
      <c r="G86"/>
      <c r="H86"/>
    </row>
    <row r="87" spans="1:8" ht="13.5">
      <c r="A87"/>
      <c r="E87" s="214"/>
      <c r="G87"/>
      <c r="H87"/>
    </row>
    <row r="88" spans="1:8" ht="13.5">
      <c r="A88"/>
      <c r="E88" s="214"/>
      <c r="G88"/>
      <c r="H88"/>
    </row>
    <row r="89" spans="1:8" ht="13.5">
      <c r="A89"/>
      <c r="E89" s="214"/>
      <c r="G89"/>
      <c r="H89"/>
    </row>
    <row r="90" spans="1:8" ht="13.5">
      <c r="A90"/>
      <c r="E90" s="214"/>
      <c r="G90"/>
      <c r="H90"/>
    </row>
    <row r="91" spans="1:8" ht="13.5">
      <c r="A91"/>
      <c r="E91" s="214"/>
      <c r="G91"/>
      <c r="H91"/>
    </row>
    <row r="92" spans="1:8" ht="13.5">
      <c r="A92"/>
      <c r="E92" s="214"/>
      <c r="G92"/>
      <c r="H92"/>
    </row>
    <row r="93" spans="5:8" ht="13.5">
      <c r="E93" s="214"/>
      <c r="G93"/>
      <c r="H93"/>
    </row>
  </sheetData>
  <sheetProtection/>
  <mergeCells count="5">
    <mergeCell ref="A51:A63"/>
    <mergeCell ref="F49:G49"/>
    <mergeCell ref="E61:G61"/>
    <mergeCell ref="B27:E27"/>
    <mergeCell ref="E31:F31"/>
  </mergeCells>
  <dataValidations count="7">
    <dataValidation type="list" allowBlank="1" showInputMessage="1" showErrorMessage="1" sqref="B55:B56">
      <formula1>controler</formula1>
    </dataValidation>
    <dataValidation type="list" allowBlank="1" showInputMessage="1" showErrorMessage="1" sqref="B52">
      <formula1>boiler</formula1>
    </dataValidation>
    <dataValidation type="list" allowBlank="1" showInputMessage="1" showErrorMessage="1" sqref="B58">
      <formula1>location</formula1>
    </dataValidation>
    <dataValidation type="list" allowBlank="1" showInputMessage="1" showErrorMessage="1" sqref="B62">
      <formula1>fuel</formula1>
    </dataValidation>
    <dataValidation type="list" allowBlank="1" showInputMessage="1" showErrorMessage="1" sqref="B63">
      <formula1>chimney</formula1>
    </dataValidation>
    <dataValidation type="list" allowBlank="1" showInputMessage="1" showErrorMessage="1" sqref="E21">
      <formula1>procedure</formula1>
    </dataValidation>
    <dataValidation type="list" allowBlank="1" showInputMessage="1" showErrorMessage="1" sqref="E22">
      <formula1>heatload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V65"/>
  <sheetViews>
    <sheetView zoomScalePageLayoutView="0" workbookViewId="0" topLeftCell="A44">
      <selection activeCell="B66" sqref="B66"/>
    </sheetView>
  </sheetViews>
  <sheetFormatPr defaultColWidth="11.00390625" defaultRowHeight="14.25"/>
  <cols>
    <col min="1" max="1" width="6.75390625" style="7" customWidth="1"/>
    <col min="2" max="2" width="8.875" style="3" customWidth="1"/>
    <col min="3" max="3" width="15.50390625" style="0" customWidth="1"/>
    <col min="4" max="4" width="44.375" style="0" customWidth="1"/>
    <col min="5" max="5" width="11.625" style="3" customWidth="1"/>
    <col min="6" max="6" width="7.75390625" style="0" customWidth="1"/>
    <col min="7" max="7" width="4.375" style="0" customWidth="1"/>
    <col min="8" max="8" width="1.4921875" style="0" customWidth="1"/>
    <col min="9" max="9" width="7.875" style="0" customWidth="1"/>
    <col min="11" max="11" width="1.4921875" style="0" customWidth="1"/>
    <col min="12" max="12" width="5.875" style="0" customWidth="1"/>
    <col min="13" max="13" width="16.375" style="0" customWidth="1"/>
    <col min="14" max="14" width="18.625" style="0" customWidth="1"/>
    <col min="21" max="21" width="13.375" style="0" customWidth="1"/>
  </cols>
  <sheetData>
    <row r="1" spans="13:14" ht="15" customHeight="1">
      <c r="M1" s="93" t="s">
        <v>225</v>
      </c>
      <c r="N1" s="30" t="s">
        <v>116</v>
      </c>
    </row>
    <row r="3" ht="13.5">
      <c r="M3" s="30"/>
    </row>
    <row r="4" spans="1:13" ht="13.5">
      <c r="A4" s="408" t="s">
        <v>138</v>
      </c>
      <c r="B4" s="409" t="s">
        <v>139</v>
      </c>
      <c r="C4" s="394" t="s">
        <v>237</v>
      </c>
      <c r="D4" s="395"/>
      <c r="E4" s="396" t="s">
        <v>10</v>
      </c>
      <c r="F4" s="397" t="s">
        <v>88</v>
      </c>
      <c r="M4" s="30"/>
    </row>
    <row r="5" spans="1:8" ht="15.75">
      <c r="A5" s="7" t="s">
        <v>494</v>
      </c>
      <c r="C5" s="398" t="s">
        <v>338</v>
      </c>
      <c r="D5" s="174" t="s">
        <v>30</v>
      </c>
      <c r="E5" s="260">
        <f>'In-output'!F25</f>
        <v>1.1</v>
      </c>
      <c r="F5" s="399" t="s">
        <v>22</v>
      </c>
      <c r="G5" s="4"/>
      <c r="H5" s="4"/>
    </row>
    <row r="6" spans="3:13" ht="39.75">
      <c r="C6" s="400" t="s">
        <v>377</v>
      </c>
      <c r="D6" s="401" t="s">
        <v>378</v>
      </c>
      <c r="E6" s="393">
        <f>'In-output'!F26</f>
        <v>8</v>
      </c>
      <c r="F6" s="402" t="str">
        <f>'In-output'!G26</f>
        <v>m³; kg; l</v>
      </c>
      <c r="M6" s="23" t="s">
        <v>31</v>
      </c>
    </row>
    <row r="7" spans="3:13" ht="15.75">
      <c r="C7" s="398" t="s">
        <v>348</v>
      </c>
      <c r="D7" s="48"/>
      <c r="E7" s="390">
        <f>'In-output'!F27</f>
        <v>60</v>
      </c>
      <c r="F7" s="399" t="s">
        <v>12</v>
      </c>
      <c r="M7" s="23" t="s">
        <v>99</v>
      </c>
    </row>
    <row r="8" spans="3:6" ht="15">
      <c r="C8" s="403" t="s">
        <v>23</v>
      </c>
      <c r="D8" s="174" t="s">
        <v>28</v>
      </c>
      <c r="E8" s="260">
        <f>'In-output'!F28</f>
        <v>35</v>
      </c>
      <c r="F8" s="399" t="s">
        <v>12</v>
      </c>
    </row>
    <row r="9" spans="3:13" ht="17.25" customHeight="1">
      <c r="C9" s="404" t="s">
        <v>24</v>
      </c>
      <c r="D9" s="405" t="s">
        <v>29</v>
      </c>
      <c r="E9" s="406">
        <f>'In-output'!F29</f>
        <v>25</v>
      </c>
      <c r="F9" s="407" t="s">
        <v>12</v>
      </c>
      <c r="M9" s="23" t="s">
        <v>98</v>
      </c>
    </row>
    <row r="10" spans="9:21" ht="37.5" customHeight="1" thickBot="1">
      <c r="I10" s="130"/>
      <c r="J10" s="269" t="s">
        <v>236</v>
      </c>
      <c r="K10" s="270"/>
      <c r="M10" s="384" t="s">
        <v>27</v>
      </c>
      <c r="N10" s="385"/>
      <c r="O10" s="385"/>
      <c r="P10" s="261" t="s">
        <v>75</v>
      </c>
      <c r="Q10" s="261" t="s">
        <v>80</v>
      </c>
      <c r="R10" s="261" t="s">
        <v>82</v>
      </c>
      <c r="S10" s="261" t="s">
        <v>85</v>
      </c>
      <c r="T10" s="261" t="s">
        <v>87</v>
      </c>
      <c r="U10" s="452" t="s">
        <v>309</v>
      </c>
    </row>
    <row r="11" spans="9:21" ht="23.25" thickBot="1">
      <c r="I11" s="271"/>
      <c r="J11" s="272" t="str">
        <f>'In-output'!B62</f>
        <v>natural gas</v>
      </c>
      <c r="K11" s="273"/>
      <c r="M11" s="116"/>
      <c r="N11" s="268" t="s">
        <v>25</v>
      </c>
      <c r="O11" s="268" t="s">
        <v>26</v>
      </c>
      <c r="P11" s="262" t="s">
        <v>127</v>
      </c>
      <c r="Q11" s="262" t="s">
        <v>127</v>
      </c>
      <c r="R11" s="263" t="s">
        <v>83</v>
      </c>
      <c r="S11" s="263" t="s">
        <v>83</v>
      </c>
      <c r="T11" s="263" t="s">
        <v>123</v>
      </c>
      <c r="U11" s="453"/>
    </row>
    <row r="12" spans="2:21" ht="17.25" thickBot="1" thickTop="1">
      <c r="B12" s="3">
        <v>1</v>
      </c>
      <c r="C12" t="s">
        <v>346</v>
      </c>
      <c r="D12" t="s">
        <v>347</v>
      </c>
      <c r="E12" s="125">
        <f>(E8-E9)*(J12/(21-E5)+J13)</f>
        <v>0.42165829145728645</v>
      </c>
      <c r="F12" s="136" t="s">
        <v>11</v>
      </c>
      <c r="I12" s="274" t="s">
        <v>128</v>
      </c>
      <c r="J12" s="276">
        <f>VLOOKUP($J$11,$M$12:$U$16,2,FALSE)</f>
        <v>0.66</v>
      </c>
      <c r="K12" s="273"/>
      <c r="M12" s="116" t="s">
        <v>298</v>
      </c>
      <c r="N12" s="268">
        <v>0.66</v>
      </c>
      <c r="O12" s="268">
        <v>0.009</v>
      </c>
      <c r="P12" s="41">
        <v>35169</v>
      </c>
      <c r="Q12" s="41">
        <v>31652</v>
      </c>
      <c r="R12" s="334">
        <v>8.4</v>
      </c>
      <c r="S12" s="334">
        <v>7.7</v>
      </c>
      <c r="T12" s="334">
        <v>1.405</v>
      </c>
      <c r="U12" s="264">
        <v>1.11</v>
      </c>
    </row>
    <row r="13" spans="5:21" ht="17.25" thickBot="1" thickTop="1">
      <c r="E13"/>
      <c r="I13" s="275" t="s">
        <v>129</v>
      </c>
      <c r="J13" s="276">
        <f>VLOOKUP($J$11,$M$12:$U$16,3,FALSE)</f>
        <v>0.009</v>
      </c>
      <c r="K13" s="273"/>
      <c r="M13" s="116" t="s">
        <v>308</v>
      </c>
      <c r="N13" s="268">
        <v>0.63</v>
      </c>
      <c r="O13" s="268">
        <v>0.008</v>
      </c>
      <c r="P13" s="41">
        <v>101804</v>
      </c>
      <c r="Q13" s="41">
        <v>93557</v>
      </c>
      <c r="R13" s="334">
        <v>23.8</v>
      </c>
      <c r="S13" s="334">
        <v>21.8</v>
      </c>
      <c r="T13" s="334">
        <v>3.3</v>
      </c>
      <c r="U13" s="264">
        <v>1.09</v>
      </c>
    </row>
    <row r="14" spans="11:21" ht="13.5">
      <c r="K14" s="273"/>
      <c r="M14" s="116" t="s">
        <v>299</v>
      </c>
      <c r="N14" s="268">
        <v>0.68</v>
      </c>
      <c r="O14" s="268">
        <v>0.007</v>
      </c>
      <c r="P14" s="41">
        <v>45336</v>
      </c>
      <c r="Q14" s="41">
        <v>42770</v>
      </c>
      <c r="R14" s="334">
        <v>11.23</v>
      </c>
      <c r="S14" s="334">
        <v>10.49</v>
      </c>
      <c r="T14" s="334">
        <v>1.18</v>
      </c>
      <c r="U14" s="264">
        <v>1.06</v>
      </c>
    </row>
    <row r="15" spans="2:21" ht="15.75">
      <c r="B15" s="335">
        <v>2</v>
      </c>
      <c r="C15" t="s">
        <v>340</v>
      </c>
      <c r="D15" t="s">
        <v>353</v>
      </c>
      <c r="E15" s="125">
        <f>E12-(J15-E7)*J16/100</f>
        <v>0.41265829145728644</v>
      </c>
      <c r="F15" s="136" t="s">
        <v>11</v>
      </c>
      <c r="I15" t="s">
        <v>350</v>
      </c>
      <c r="J15">
        <v>80</v>
      </c>
      <c r="K15" t="s">
        <v>12</v>
      </c>
      <c r="M15" s="115" t="s">
        <v>245</v>
      </c>
      <c r="N15" s="268"/>
      <c r="O15" s="268"/>
      <c r="P15" s="115"/>
      <c r="Q15" s="115"/>
      <c r="R15" s="115"/>
      <c r="S15" s="115"/>
      <c r="T15" s="115"/>
      <c r="U15" s="264">
        <v>1.04</v>
      </c>
    </row>
    <row r="16" spans="9:21" ht="15.75">
      <c r="I16" t="s">
        <v>351</v>
      </c>
      <c r="J16">
        <v>0.045</v>
      </c>
      <c r="K16" t="s">
        <v>352</v>
      </c>
      <c r="M16" s="115" t="s">
        <v>255</v>
      </c>
      <c r="N16" s="268"/>
      <c r="O16" s="268"/>
      <c r="P16" s="265" t="e">
        <f>#REF!*Q16</f>
        <v>#REF!</v>
      </c>
      <c r="Q16" s="266">
        <v>25122</v>
      </c>
      <c r="R16" s="115"/>
      <c r="S16" s="115"/>
      <c r="T16" s="115"/>
      <c r="U16" s="264">
        <v>1.07</v>
      </c>
    </row>
    <row r="17" spans="2:21" ht="13.5">
      <c r="B17" s="221"/>
      <c r="E17"/>
      <c r="M17" s="115" t="s">
        <v>246</v>
      </c>
      <c r="N17" s="268"/>
      <c r="O17" s="268"/>
      <c r="P17" s="132">
        <v>15822</v>
      </c>
      <c r="Q17" s="132">
        <v>14650</v>
      </c>
      <c r="R17" s="267">
        <v>3.8</v>
      </c>
      <c r="S17" s="267">
        <v>4.5</v>
      </c>
      <c r="T17" s="267">
        <v>0.7</v>
      </c>
      <c r="U17" s="264">
        <v>1.08</v>
      </c>
    </row>
    <row r="18" spans="2:21" ht="13.5">
      <c r="B18" s="221"/>
      <c r="E18"/>
      <c r="M18" s="116" t="s">
        <v>300</v>
      </c>
      <c r="N18" s="268">
        <v>0.68</v>
      </c>
      <c r="O18" s="268">
        <v>0.007</v>
      </c>
      <c r="P18" s="115"/>
      <c r="Q18" s="132">
        <v>39800</v>
      </c>
      <c r="R18" s="115"/>
      <c r="S18" s="115"/>
      <c r="T18" s="115"/>
      <c r="U18" s="115"/>
    </row>
    <row r="19" spans="2:21" ht="13.5">
      <c r="B19" s="221"/>
      <c r="E19"/>
      <c r="M19" s="116" t="s">
        <v>301</v>
      </c>
      <c r="N19" s="268">
        <v>0.63</v>
      </c>
      <c r="O19" s="268">
        <v>0.011</v>
      </c>
      <c r="P19" s="115"/>
      <c r="Q19" s="115"/>
      <c r="R19" s="115"/>
      <c r="S19" s="115"/>
      <c r="T19" s="115"/>
      <c r="U19" s="115"/>
    </row>
    <row r="20" spans="2:5" ht="13.5">
      <c r="B20" s="221"/>
      <c r="E20"/>
    </row>
    <row r="21" spans="1:13" ht="18">
      <c r="A21" s="7" t="s">
        <v>495</v>
      </c>
      <c r="B21" s="3">
        <v>3</v>
      </c>
      <c r="C21" t="s">
        <v>341</v>
      </c>
      <c r="D21" t="s">
        <v>342</v>
      </c>
      <c r="E21" s="382">
        <f>U30/(1000*E56)</f>
        <v>0.002800770883356501</v>
      </c>
      <c r="F21" s="136" t="s">
        <v>11</v>
      </c>
      <c r="M21" s="23" t="s">
        <v>345</v>
      </c>
    </row>
    <row r="22" spans="14:21" ht="15.75">
      <c r="N22" s="3" t="s">
        <v>37</v>
      </c>
      <c r="O22" s="3" t="s">
        <v>38</v>
      </c>
      <c r="P22" s="3" t="s">
        <v>47</v>
      </c>
      <c r="Q22" s="14" t="s">
        <v>44</v>
      </c>
      <c r="R22" s="3" t="s">
        <v>42</v>
      </c>
      <c r="S22" s="13" t="s">
        <v>24</v>
      </c>
      <c r="T22" s="13" t="s">
        <v>43</v>
      </c>
      <c r="U22" t="s">
        <v>46</v>
      </c>
    </row>
    <row r="23" spans="13:21" ht="13.5">
      <c r="M23" t="s">
        <v>39</v>
      </c>
      <c r="N23" s="464" t="s">
        <v>40</v>
      </c>
      <c r="O23" s="464"/>
      <c r="P23" s="3" t="s">
        <v>41</v>
      </c>
      <c r="Q23" s="3" t="s">
        <v>45</v>
      </c>
      <c r="R23" s="464" t="s">
        <v>12</v>
      </c>
      <c r="S23" s="464"/>
      <c r="T23" s="3" t="s">
        <v>48</v>
      </c>
      <c r="U23" s="3" t="s">
        <v>130</v>
      </c>
    </row>
    <row r="24" spans="13:21" ht="13.5">
      <c r="M24" t="s">
        <v>32</v>
      </c>
      <c r="N24" s="387">
        <f>'In-output'!E32</f>
        <v>0.95</v>
      </c>
      <c r="O24" s="387">
        <f>'In-output'!F32</f>
        <v>0.6</v>
      </c>
      <c r="P24" s="125">
        <f>N24*O24</f>
        <v>0.57</v>
      </c>
      <c r="Q24" s="3">
        <v>10</v>
      </c>
      <c r="R24" s="388">
        <f>'In-output'!G32</f>
        <v>35</v>
      </c>
      <c r="S24" s="388">
        <f>E9</f>
        <v>25</v>
      </c>
      <c r="T24" s="389">
        <f>R24-S24</f>
        <v>10</v>
      </c>
      <c r="U24" s="125">
        <f>P24*Q24*T24</f>
        <v>56.99999999999999</v>
      </c>
    </row>
    <row r="25" spans="13:21" ht="13.5">
      <c r="M25" t="s">
        <v>33</v>
      </c>
      <c r="N25" s="387">
        <f>'In-output'!E33</f>
        <v>0.95</v>
      </c>
      <c r="O25" s="387">
        <f>'In-output'!F33</f>
        <v>0.6</v>
      </c>
      <c r="P25" s="125">
        <f>N25*O25</f>
        <v>0.57</v>
      </c>
      <c r="Q25" s="3">
        <v>10</v>
      </c>
      <c r="R25" s="388">
        <f>'In-output'!G33</f>
        <v>32</v>
      </c>
      <c r="S25" s="388">
        <f>S24</f>
        <v>25</v>
      </c>
      <c r="T25" s="389">
        <f>R25-S25</f>
        <v>7</v>
      </c>
      <c r="U25" s="125">
        <f>P25*Q25*T25</f>
        <v>39.89999999999999</v>
      </c>
    </row>
    <row r="26" spans="13:21" ht="13.5">
      <c r="M26" t="s">
        <v>34</v>
      </c>
      <c r="N26" s="387">
        <f>'In-output'!E34</f>
        <v>0.95</v>
      </c>
      <c r="O26" s="387">
        <f>'In-output'!F34</f>
        <v>0.77</v>
      </c>
      <c r="P26" s="125">
        <f>N26*O26</f>
        <v>0.7314999999999999</v>
      </c>
      <c r="Q26" s="3">
        <v>10</v>
      </c>
      <c r="R26" s="388">
        <f>'In-output'!G34</f>
        <v>29</v>
      </c>
      <c r="S26" s="388">
        <f>S25</f>
        <v>25</v>
      </c>
      <c r="T26" s="389">
        <f>R26-S26</f>
        <v>4</v>
      </c>
      <c r="U26" s="125">
        <f>P26*Q26*T26</f>
        <v>29.259999999999998</v>
      </c>
    </row>
    <row r="27" spans="13:21" ht="13.5">
      <c r="M27" t="s">
        <v>35</v>
      </c>
      <c r="N27" s="387">
        <f>'In-output'!E35</f>
        <v>0.95</v>
      </c>
      <c r="O27" s="387">
        <f>'In-output'!F35</f>
        <v>0.77</v>
      </c>
      <c r="P27" s="125">
        <f>N27*O27</f>
        <v>0.7314999999999999</v>
      </c>
      <c r="Q27" s="3">
        <v>10</v>
      </c>
      <c r="R27" s="388">
        <f>'In-output'!G35</f>
        <v>29</v>
      </c>
      <c r="S27" s="388">
        <f>S26</f>
        <v>25</v>
      </c>
      <c r="T27" s="389">
        <f>R27-S27</f>
        <v>4</v>
      </c>
      <c r="U27" s="125">
        <f>P27*Q27*T27</f>
        <v>29.259999999999998</v>
      </c>
    </row>
    <row r="28" spans="13:21" ht="13.5">
      <c r="M28" t="s">
        <v>36</v>
      </c>
      <c r="N28" s="387">
        <f>'In-output'!E36</f>
        <v>0.6</v>
      </c>
      <c r="O28" s="387">
        <f>'In-output'!F36</f>
        <v>0.77</v>
      </c>
      <c r="P28" s="125">
        <f>N28*O28</f>
        <v>0.46199999999999997</v>
      </c>
      <c r="Q28" s="3">
        <v>10</v>
      </c>
      <c r="R28" s="388">
        <f>'In-output'!G36</f>
        <v>34</v>
      </c>
      <c r="S28" s="388">
        <f>S27</f>
        <v>25</v>
      </c>
      <c r="T28" s="389">
        <f>R28-S28</f>
        <v>9</v>
      </c>
      <c r="U28" s="125">
        <f>P28*Q28*T28</f>
        <v>41.57999999999999</v>
      </c>
    </row>
    <row r="29" spans="14:21" ht="13.5">
      <c r="N29" s="11"/>
      <c r="O29" s="11"/>
      <c r="P29" s="11"/>
      <c r="Q29" s="3"/>
      <c r="R29" s="16"/>
      <c r="S29" s="16"/>
      <c r="T29" s="16"/>
      <c r="U29" s="11"/>
    </row>
    <row r="30" spans="21:22" ht="13.5">
      <c r="U30" s="15">
        <f>SUM(U24:U28)</f>
        <v>196.99999999999994</v>
      </c>
      <c r="V30" s="3" t="s">
        <v>130</v>
      </c>
    </row>
    <row r="31" ht="15">
      <c r="M31" s="23" t="s">
        <v>59</v>
      </c>
    </row>
    <row r="32" ht="15">
      <c r="M32" s="23"/>
    </row>
    <row r="33" spans="1:13" ht="39.75" thickBot="1">
      <c r="A33" s="7" t="s">
        <v>496</v>
      </c>
      <c r="C33" t="s">
        <v>343</v>
      </c>
      <c r="D33" s="258" t="str">
        <f>'In-output'!B63</f>
        <v>Liquid fuel or gas fired boiler with the fan before the combustion chamber and automatic closure of air intake with burner off:</v>
      </c>
      <c r="E33" s="51">
        <f>VLOOKUP('In-output'!B63,N36:O40,2,FALSE)</f>
        <v>0.2</v>
      </c>
      <c r="I33" t="s">
        <v>258</v>
      </c>
      <c r="M33" s="10" t="s">
        <v>57</v>
      </c>
    </row>
    <row r="34" spans="5:15" ht="15">
      <c r="E34" s="66"/>
      <c r="N34" s="220" t="s">
        <v>13</v>
      </c>
      <c r="O34" s="17" t="s">
        <v>49</v>
      </c>
    </row>
    <row r="35" spans="14:15" ht="14.25" thickBot="1">
      <c r="N35" s="257"/>
      <c r="O35" s="18" t="s">
        <v>50</v>
      </c>
    </row>
    <row r="36" spans="14:15" ht="78.75">
      <c r="N36" s="253" t="s">
        <v>51</v>
      </c>
      <c r="O36" s="19">
        <v>0.2</v>
      </c>
    </row>
    <row r="37" spans="14:15" ht="13.5">
      <c r="N37" s="254" t="s">
        <v>52</v>
      </c>
      <c r="O37" s="20">
        <v>0.2</v>
      </c>
    </row>
    <row r="38" spans="14:15" ht="39">
      <c r="N38" s="254" t="s">
        <v>53</v>
      </c>
      <c r="O38" s="20">
        <v>0.4</v>
      </c>
    </row>
    <row r="39" spans="13:15" ht="36.75" customHeight="1">
      <c r="M39" s="336" t="s">
        <v>54</v>
      </c>
      <c r="N39" s="219" t="s">
        <v>55</v>
      </c>
      <c r="O39" s="20">
        <v>1</v>
      </c>
    </row>
    <row r="40" spans="13:15" ht="36.75" customHeight="1" thickBot="1">
      <c r="M40" s="337"/>
      <c r="N40" s="255" t="s">
        <v>56</v>
      </c>
      <c r="O40" s="21">
        <v>1.2</v>
      </c>
    </row>
    <row r="43" spans="1:20" ht="15.75">
      <c r="A43" s="7" t="s">
        <v>497</v>
      </c>
      <c r="B43" s="3">
        <v>4</v>
      </c>
      <c r="C43" t="s">
        <v>364</v>
      </c>
      <c r="D43" t="s">
        <v>366</v>
      </c>
      <c r="E43" s="127">
        <f>0.01*E15*E56</f>
        <v>0.29025467202680066</v>
      </c>
      <c r="F43" t="s">
        <v>19</v>
      </c>
      <c r="I43" t="s">
        <v>224</v>
      </c>
      <c r="N43" s="256"/>
      <c r="O43" s="256"/>
      <c r="P43" s="256"/>
      <c r="Q43" s="256"/>
      <c r="R43" s="256"/>
      <c r="S43" s="256"/>
      <c r="T43" s="259"/>
    </row>
    <row r="44" ht="13.5">
      <c r="E44" s="127"/>
    </row>
    <row r="45" spans="2:6" ht="15.75">
      <c r="B45" s="3">
        <v>5</v>
      </c>
      <c r="C45" t="s">
        <v>365</v>
      </c>
      <c r="D45" t="s">
        <v>367</v>
      </c>
      <c r="E45" s="127">
        <f>0.01*E33*E56</f>
        <v>0.14067555555555555</v>
      </c>
      <c r="F45" t="s">
        <v>19</v>
      </c>
    </row>
    <row r="46" ht="13.5">
      <c r="E46" s="126"/>
    </row>
    <row r="47" spans="2:6" ht="15.75">
      <c r="B47" s="3">
        <v>6</v>
      </c>
      <c r="C47" t="s">
        <v>344</v>
      </c>
      <c r="D47" t="s">
        <v>368</v>
      </c>
      <c r="E47" s="126">
        <f>E21*E56</f>
        <v>0.19699999999999993</v>
      </c>
      <c r="F47" t="s">
        <v>19</v>
      </c>
    </row>
    <row r="48" spans="5:13" ht="15">
      <c r="E48" s="126"/>
      <c r="M48" s="23" t="s">
        <v>60</v>
      </c>
    </row>
    <row r="49" spans="2:9" ht="15.75">
      <c r="B49" s="3">
        <v>7</v>
      </c>
      <c r="C49" t="s">
        <v>58</v>
      </c>
      <c r="D49" t="s">
        <v>363</v>
      </c>
      <c r="E49" s="134">
        <f>'Condensation(measurement)'!E26</f>
        <v>7.537173125376736</v>
      </c>
      <c r="F49" t="s">
        <v>19</v>
      </c>
      <c r="I49" t="s">
        <v>227</v>
      </c>
    </row>
    <row r="50" ht="14.25" thickBot="1">
      <c r="M50" s="1" t="s">
        <v>61</v>
      </c>
    </row>
    <row r="51" spans="3:20" ht="14.25" thickBot="1">
      <c r="C51" s="3"/>
      <c r="D51" s="3"/>
      <c r="M51" s="455" t="s">
        <v>62</v>
      </c>
      <c r="N51" s="456"/>
      <c r="O51" s="461" t="s">
        <v>63</v>
      </c>
      <c r="P51" s="33" t="s">
        <v>64</v>
      </c>
      <c r="Q51" s="54" t="s">
        <v>65</v>
      </c>
      <c r="R51" s="55"/>
      <c r="S51" s="55"/>
      <c r="T51" s="37"/>
    </row>
    <row r="52" spans="3:20" ht="13.5">
      <c r="C52" s="3"/>
      <c r="D52" s="3"/>
      <c r="M52" s="457"/>
      <c r="N52" s="458"/>
      <c r="O52" s="462"/>
      <c r="P52" s="32"/>
      <c r="Q52" s="24" t="s">
        <v>66</v>
      </c>
      <c r="R52" s="33" t="s">
        <v>68</v>
      </c>
      <c r="S52" s="33" t="s">
        <v>69</v>
      </c>
      <c r="T52" s="33" t="s">
        <v>70</v>
      </c>
    </row>
    <row r="53" spans="13:20" ht="14.25" thickBot="1">
      <c r="M53" s="457"/>
      <c r="N53" s="458"/>
      <c r="O53" s="463"/>
      <c r="P53" s="34"/>
      <c r="Q53" s="25" t="s">
        <v>67</v>
      </c>
      <c r="R53" s="34"/>
      <c r="S53" s="34"/>
      <c r="T53" s="34"/>
    </row>
    <row r="54" spans="13:20" ht="15" customHeight="1" thickBot="1">
      <c r="M54" s="459" t="s">
        <v>71</v>
      </c>
      <c r="N54" s="460"/>
      <c r="O54" s="26"/>
      <c r="P54" s="27"/>
      <c r="Q54" s="31" t="s">
        <v>72</v>
      </c>
      <c r="R54" s="31" t="s">
        <v>72</v>
      </c>
      <c r="S54" s="31" t="s">
        <v>72</v>
      </c>
      <c r="T54" s="31" t="s">
        <v>73</v>
      </c>
    </row>
    <row r="55" spans="10:20" ht="14.25" customHeight="1" thickBot="1">
      <c r="J55" s="270" t="s">
        <v>101</v>
      </c>
      <c r="K55" s="270"/>
      <c r="L55" s="29" t="s">
        <v>76</v>
      </c>
      <c r="M55" s="56" t="s">
        <v>74</v>
      </c>
      <c r="N55" s="52"/>
      <c r="O55" s="53" t="s">
        <v>75</v>
      </c>
      <c r="P55" s="50" t="s">
        <v>127</v>
      </c>
      <c r="Q55" s="41">
        <v>35169</v>
      </c>
      <c r="R55" s="41">
        <v>101804</v>
      </c>
      <c r="S55" s="41">
        <v>131985</v>
      </c>
      <c r="T55" s="57">
        <v>45336</v>
      </c>
    </row>
    <row r="56" spans="2:20" ht="23.25" customHeight="1" thickBot="1">
      <c r="B56" s="3">
        <v>8</v>
      </c>
      <c r="C56" t="s">
        <v>356</v>
      </c>
      <c r="D56" t="s">
        <v>362</v>
      </c>
      <c r="E56" s="128">
        <f>E6*measurment!J56/3600</f>
        <v>70.33777777777777</v>
      </c>
      <c r="F56" t="s">
        <v>19</v>
      </c>
      <c r="I56" s="6" t="s">
        <v>100</v>
      </c>
      <c r="J56" s="282">
        <f>VLOOKUP($J$11,$M$12:$T$16,5,FALSE)</f>
        <v>31652</v>
      </c>
      <c r="K56" s="129"/>
      <c r="L56" s="29" t="s">
        <v>77</v>
      </c>
      <c r="M56" s="56" t="s">
        <v>79</v>
      </c>
      <c r="N56" s="52"/>
      <c r="O56" s="53" t="s">
        <v>80</v>
      </c>
      <c r="P56" s="50" t="s">
        <v>127</v>
      </c>
      <c r="Q56" s="41">
        <v>31652</v>
      </c>
      <c r="R56" s="41">
        <v>93557</v>
      </c>
      <c r="S56" s="41">
        <v>121603</v>
      </c>
      <c r="T56" s="57">
        <v>42770</v>
      </c>
    </row>
    <row r="57" spans="5:20" ht="23.25" customHeight="1" thickBot="1">
      <c r="E57" s="126"/>
      <c r="L57" s="27" t="s">
        <v>78</v>
      </c>
      <c r="M57" s="56" t="s">
        <v>81</v>
      </c>
      <c r="N57" s="52"/>
      <c r="O57" s="53" t="s">
        <v>82</v>
      </c>
      <c r="P57" s="35" t="s">
        <v>83</v>
      </c>
      <c r="Q57" s="31">
        <v>8.4</v>
      </c>
      <c r="R57" s="31">
        <v>23.8</v>
      </c>
      <c r="S57" s="31">
        <v>30.94</v>
      </c>
      <c r="T57" s="31">
        <v>11.23</v>
      </c>
    </row>
    <row r="58" spans="1:20" ht="27" thickBot="1">
      <c r="A58" s="7" t="s">
        <v>498</v>
      </c>
      <c r="B58" s="3">
        <v>10</v>
      </c>
      <c r="C58" s="291" t="s">
        <v>355</v>
      </c>
      <c r="D58" t="s">
        <v>361</v>
      </c>
      <c r="E58" s="125">
        <f>(E56-E43-E47)/E56*100</f>
        <v>99.30726462020706</v>
      </c>
      <c r="F58" t="s">
        <v>11</v>
      </c>
      <c r="M58" s="56" t="s">
        <v>84</v>
      </c>
      <c r="N58" s="52"/>
      <c r="O58" s="53" t="s">
        <v>85</v>
      </c>
      <c r="P58" s="35" t="s">
        <v>83</v>
      </c>
      <c r="Q58" s="31">
        <v>7.7</v>
      </c>
      <c r="R58" s="31">
        <v>21.8</v>
      </c>
      <c r="S58" s="31">
        <v>28.44</v>
      </c>
      <c r="T58" s="31">
        <v>10.49</v>
      </c>
    </row>
    <row r="59" spans="5:20" ht="27" thickBot="1">
      <c r="E59" s="126"/>
      <c r="F59" s="3"/>
      <c r="G59" s="3"/>
      <c r="H59" s="221"/>
      <c r="I59" s="3"/>
      <c r="J59" s="3"/>
      <c r="K59" s="83"/>
      <c r="M59" s="58" t="s">
        <v>86</v>
      </c>
      <c r="N59" s="59"/>
      <c r="O59" s="60" t="s">
        <v>87</v>
      </c>
      <c r="P59" s="27" t="s">
        <v>123</v>
      </c>
      <c r="Q59" s="28">
        <v>1.405</v>
      </c>
      <c r="R59" s="28">
        <v>3.3</v>
      </c>
      <c r="S59" s="28">
        <v>4.03</v>
      </c>
      <c r="T59" s="28">
        <v>1.18</v>
      </c>
    </row>
    <row r="60" spans="5:11" ht="14.25" customHeight="1">
      <c r="E60" s="126"/>
      <c r="F60" s="3"/>
      <c r="G60" s="3"/>
      <c r="H60" s="221"/>
      <c r="I60" s="3"/>
      <c r="J60" s="3"/>
      <c r="K60" s="83"/>
    </row>
    <row r="61" spans="2:13" ht="15.75">
      <c r="B61" s="3">
        <v>11</v>
      </c>
      <c r="C61" s="291" t="s">
        <v>358</v>
      </c>
      <c r="D61" s="454" t="s">
        <v>360</v>
      </c>
      <c r="E61" s="125">
        <f>(E56*I62-(I62*(E43-E49+E47)+(1-I62)*(E45+E47)))/(E56*I62)</f>
        <v>1.0890276750497327</v>
      </c>
      <c r="F61" t="s">
        <v>11</v>
      </c>
      <c r="G61" s="6" t="s">
        <v>479</v>
      </c>
      <c r="H61" s="6"/>
      <c r="I61">
        <v>1</v>
      </c>
      <c r="J61" s="3"/>
      <c r="K61" s="83"/>
      <c r="M61" s="10" t="s">
        <v>113</v>
      </c>
    </row>
    <row r="62" spans="4:11" ht="14.25" customHeight="1">
      <c r="D62" s="454"/>
      <c r="E62" s="126"/>
      <c r="G62" s="6" t="s">
        <v>480</v>
      </c>
      <c r="H62" s="6"/>
      <c r="I62">
        <v>0.3</v>
      </c>
      <c r="J62" s="3"/>
      <c r="K62" s="83"/>
    </row>
    <row r="63" spans="4:11" ht="25.5" customHeight="1">
      <c r="D63" s="454"/>
      <c r="E63" s="126"/>
      <c r="I63" s="3"/>
      <c r="J63" s="3"/>
      <c r="K63" s="83"/>
    </row>
    <row r="64" spans="5:11" ht="14.25" customHeight="1">
      <c r="E64" s="126"/>
      <c r="I64" s="3"/>
      <c r="J64" s="3"/>
      <c r="K64" s="83"/>
    </row>
    <row r="65" spans="2:6" ht="15.75">
      <c r="B65" s="3">
        <v>12</v>
      </c>
      <c r="C65" t="s">
        <v>357</v>
      </c>
      <c r="D65" t="s">
        <v>359</v>
      </c>
      <c r="E65" s="127">
        <f>E33+E21</f>
        <v>0.20280077088335652</v>
      </c>
      <c r="F65" t="s">
        <v>11</v>
      </c>
    </row>
  </sheetData>
  <sheetProtection/>
  <mergeCells count="8">
    <mergeCell ref="U10:U11"/>
    <mergeCell ref="D61:D63"/>
    <mergeCell ref="M51:N53"/>
    <mergeCell ref="M54:N54"/>
    <mergeCell ref="O51:O53"/>
    <mergeCell ref="N23:O23"/>
    <mergeCell ref="R23:S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2:X34"/>
  <sheetViews>
    <sheetView zoomScalePageLayoutView="0" workbookViewId="0" topLeftCell="A1">
      <selection activeCell="E27" sqref="E27"/>
    </sheetView>
  </sheetViews>
  <sheetFormatPr defaultColWidth="11.00390625" defaultRowHeight="14.25"/>
  <cols>
    <col min="1" max="2" width="7.625" style="3" customWidth="1"/>
    <col min="4" max="4" width="34.875" style="0" customWidth="1"/>
    <col min="6" max="6" width="15.75390625" style="0" customWidth="1"/>
    <col min="7" max="7" width="5.875" style="0" customWidth="1"/>
    <col min="8" max="8" width="1.875" style="0" customWidth="1"/>
    <col min="9" max="9" width="11.375" style="0" customWidth="1"/>
    <col min="10" max="10" width="9.125" style="0" customWidth="1"/>
    <col min="11" max="11" width="1.12109375" style="0" customWidth="1"/>
    <col min="12" max="12" width="8.25390625" style="0" customWidth="1"/>
    <col min="16" max="23" width="8.875" style="0" customWidth="1"/>
  </cols>
  <sheetData>
    <row r="2" ht="15">
      <c r="C2" s="23" t="s">
        <v>31</v>
      </c>
    </row>
    <row r="3" ht="13.5">
      <c r="L3" s="47"/>
    </row>
    <row r="4" spans="1:12" ht="15">
      <c r="A4" s="408" t="s">
        <v>138</v>
      </c>
      <c r="B4" s="409" t="s">
        <v>139</v>
      </c>
      <c r="C4" s="23" t="s">
        <v>60</v>
      </c>
      <c r="L4" s="48"/>
    </row>
    <row r="6" spans="4:13" ht="15">
      <c r="D6" s="9" t="s">
        <v>105</v>
      </c>
      <c r="G6" s="213" t="s">
        <v>265</v>
      </c>
      <c r="H6" s="213"/>
      <c r="M6" s="23" t="s">
        <v>60</v>
      </c>
    </row>
    <row r="7" spans="3:8" ht="15">
      <c r="C7" s="2" t="s">
        <v>115</v>
      </c>
      <c r="D7" s="1" t="s">
        <v>28</v>
      </c>
      <c r="E7" s="133">
        <f>measurment!E8</f>
        <v>35</v>
      </c>
      <c r="F7" s="140" t="s">
        <v>12</v>
      </c>
      <c r="G7" s="94" t="s">
        <v>226</v>
      </c>
      <c r="H7" s="94"/>
    </row>
    <row r="8" spans="3:13" ht="15.75" thickBot="1">
      <c r="C8" s="2" t="s">
        <v>24</v>
      </c>
      <c r="D8" s="1" t="s">
        <v>29</v>
      </c>
      <c r="E8" s="133">
        <f>measurment!E9</f>
        <v>25</v>
      </c>
      <c r="F8" s="140" t="s">
        <v>12</v>
      </c>
      <c r="G8" s="94" t="s">
        <v>226</v>
      </c>
      <c r="H8" s="94"/>
      <c r="M8" s="10" t="s">
        <v>107</v>
      </c>
    </row>
    <row r="9" spans="3:23" ht="16.5" thickTop="1">
      <c r="C9" t="s">
        <v>338</v>
      </c>
      <c r="D9" s="1" t="s">
        <v>30</v>
      </c>
      <c r="E9" s="133">
        <f>measurment!E5</f>
        <v>1.1</v>
      </c>
      <c r="F9" s="140" t="s">
        <v>22</v>
      </c>
      <c r="G9" s="94" t="s">
        <v>257</v>
      </c>
      <c r="H9" s="94"/>
      <c r="M9" s="475" t="s">
        <v>108</v>
      </c>
      <c r="N9" s="476"/>
      <c r="O9" s="466" t="s">
        <v>12</v>
      </c>
      <c r="P9" s="43">
        <v>0</v>
      </c>
      <c r="Q9" s="43">
        <v>10</v>
      </c>
      <c r="R9" s="43">
        <v>20</v>
      </c>
      <c r="S9" s="43">
        <v>30</v>
      </c>
      <c r="T9" s="43">
        <v>40</v>
      </c>
      <c r="U9" s="43">
        <v>50</v>
      </c>
      <c r="V9" s="43">
        <v>60</v>
      </c>
      <c r="W9" s="43">
        <v>70</v>
      </c>
    </row>
    <row r="10" spans="8:23" ht="27" customHeight="1" thickBot="1">
      <c r="H10" s="130"/>
      <c r="I10" s="130"/>
      <c r="J10" s="269" t="s">
        <v>238</v>
      </c>
      <c r="K10" s="270"/>
      <c r="M10" s="477" t="s">
        <v>109</v>
      </c>
      <c r="N10" s="474"/>
      <c r="O10" s="467"/>
      <c r="P10" s="44"/>
      <c r="Q10" s="44"/>
      <c r="R10" s="44"/>
      <c r="S10" s="44"/>
      <c r="T10" s="44"/>
      <c r="U10" s="44"/>
      <c r="V10" s="44"/>
      <c r="W10" s="44"/>
    </row>
    <row r="11" spans="8:23" ht="14.25" customHeight="1">
      <c r="H11" s="278"/>
      <c r="I11" s="278" t="s">
        <v>394</v>
      </c>
      <c r="J11" s="279">
        <f>0.0000015/E8^-2.9</f>
        <v>0.016987023367445973</v>
      </c>
      <c r="K11" s="140"/>
      <c r="L11" s="478" t="s">
        <v>111</v>
      </c>
      <c r="M11" s="471" t="s">
        <v>110</v>
      </c>
      <c r="N11" s="472"/>
      <c r="O11" s="480" t="s">
        <v>111</v>
      </c>
      <c r="P11" s="45">
        <v>0.00493</v>
      </c>
      <c r="Q11" s="45">
        <v>0.00986</v>
      </c>
      <c r="R11" s="45">
        <v>0.01912</v>
      </c>
      <c r="S11" s="45">
        <v>0.03521</v>
      </c>
      <c r="T11" s="45">
        <v>0.06331</v>
      </c>
      <c r="U11" s="45">
        <v>0.1112</v>
      </c>
      <c r="V11" s="45">
        <v>0.1975</v>
      </c>
      <c r="W11" s="45">
        <v>0.3596</v>
      </c>
    </row>
    <row r="12" spans="1:23" ht="16.5" thickBot="1">
      <c r="A12" s="3" t="s">
        <v>103</v>
      </c>
      <c r="B12" s="3" t="s">
        <v>117</v>
      </c>
      <c r="C12" t="s">
        <v>380</v>
      </c>
      <c r="D12" t="s">
        <v>386</v>
      </c>
      <c r="E12" s="135">
        <f>J23*20.94/(20.94-E9)</f>
        <v>1.4828981854838712</v>
      </c>
      <c r="F12" s="136" t="s">
        <v>104</v>
      </c>
      <c r="H12" s="278"/>
      <c r="I12" s="278" t="s">
        <v>395</v>
      </c>
      <c r="J12" s="279">
        <f>0.0000015/E7^-2.9</f>
        <v>0.045070106849503286</v>
      </c>
      <c r="K12" s="140"/>
      <c r="L12" s="479"/>
      <c r="M12" s="473" t="s">
        <v>399</v>
      </c>
      <c r="N12" s="474"/>
      <c r="O12" s="481"/>
      <c r="P12" s="46"/>
      <c r="Q12" s="46"/>
      <c r="R12" s="46"/>
      <c r="S12" s="46"/>
      <c r="T12" s="46"/>
      <c r="U12" s="46"/>
      <c r="V12" s="46"/>
      <c r="W12" s="46"/>
    </row>
    <row r="13" spans="8:22" ht="15" thickBot="1">
      <c r="H13" s="278"/>
      <c r="I13" s="278"/>
      <c r="J13" s="278"/>
      <c r="K13" s="278"/>
      <c r="M13" s="468" t="s">
        <v>112</v>
      </c>
      <c r="N13" s="469"/>
      <c r="O13" s="469"/>
      <c r="P13" s="469"/>
      <c r="Q13" s="469"/>
      <c r="R13" s="469"/>
      <c r="S13" s="469"/>
      <c r="T13" s="469"/>
      <c r="U13" s="469"/>
      <c r="V13" s="470"/>
    </row>
    <row r="14" spans="2:22" ht="15.75">
      <c r="B14" s="3" t="s">
        <v>102</v>
      </c>
      <c r="C14" t="s">
        <v>381</v>
      </c>
      <c r="D14" t="s">
        <v>387</v>
      </c>
      <c r="E14" s="135">
        <f>J22+E12-J23</f>
        <v>7.777898185483871</v>
      </c>
      <c r="F14" s="136" t="s">
        <v>104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3:22" ht="13.5"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2:6" ht="15.75">
      <c r="B16" s="3" t="s">
        <v>106</v>
      </c>
      <c r="C16" t="s">
        <v>382</v>
      </c>
      <c r="D16" t="s">
        <v>388</v>
      </c>
      <c r="E16" s="137">
        <f>J11*E14*R32/100</f>
        <v>0.06606166911321508</v>
      </c>
      <c r="F16" s="318" t="s">
        <v>123</v>
      </c>
    </row>
    <row r="17" spans="3:6" ht="13.5">
      <c r="C17" s="2"/>
      <c r="D17" s="1"/>
      <c r="E17" s="1"/>
      <c r="F17" s="1"/>
    </row>
    <row r="18" spans="2:13" ht="16.5" thickBot="1">
      <c r="B18" s="3" t="s">
        <v>114</v>
      </c>
      <c r="C18" t="s">
        <v>383</v>
      </c>
      <c r="D18" t="s">
        <v>389</v>
      </c>
      <c r="E18" s="137">
        <f>J12*E12*R33/100</f>
        <v>0.06683437966669262</v>
      </c>
      <c r="F18" s="318" t="s">
        <v>123</v>
      </c>
      <c r="M18" s="1" t="s">
        <v>61</v>
      </c>
    </row>
    <row r="19" spans="8:24" ht="26.25" customHeight="1" thickBot="1">
      <c r="H19" s="130"/>
      <c r="I19" s="130"/>
      <c r="J19" s="269" t="s">
        <v>239</v>
      </c>
      <c r="K19" s="270"/>
      <c r="L19" s="40" t="s">
        <v>113</v>
      </c>
      <c r="M19" s="455" t="s">
        <v>62</v>
      </c>
      <c r="N19" s="456"/>
      <c r="O19" s="461" t="s">
        <v>63</v>
      </c>
      <c r="P19" s="33" t="s">
        <v>64</v>
      </c>
      <c r="Q19" s="483" t="s">
        <v>65</v>
      </c>
      <c r="R19" s="484"/>
      <c r="S19" s="484"/>
      <c r="T19" s="484"/>
      <c r="U19" s="484"/>
      <c r="V19" s="484"/>
      <c r="W19" s="484"/>
      <c r="X19" s="485"/>
    </row>
    <row r="20" spans="2:24" ht="39.75" thickBot="1">
      <c r="B20" s="3" t="s">
        <v>118</v>
      </c>
      <c r="C20" t="s">
        <v>384</v>
      </c>
      <c r="D20" t="s">
        <v>390</v>
      </c>
      <c r="E20" s="138">
        <f>IF(G20&lt;0,0,G20)</f>
        <v>1.4042272894465224</v>
      </c>
      <c r="F20" s="318" t="s">
        <v>123</v>
      </c>
      <c r="G20" s="201">
        <f>J24+E16-E18</f>
        <v>1.4042272894465224</v>
      </c>
      <c r="H20" s="280"/>
      <c r="I20" s="280" t="s">
        <v>75</v>
      </c>
      <c r="J20" s="282">
        <f>VLOOKUP(measurment!$J$11,measurment!$M$12:$U$16,5,FALSE)</f>
        <v>31652</v>
      </c>
      <c r="K20" s="319"/>
      <c r="L20" s="320" t="s">
        <v>127</v>
      </c>
      <c r="M20" s="457"/>
      <c r="N20" s="458"/>
      <c r="O20" s="462"/>
      <c r="P20" s="32"/>
      <c r="Q20" s="24" t="s">
        <v>66</v>
      </c>
      <c r="R20" s="33" t="s">
        <v>68</v>
      </c>
      <c r="S20" s="33" t="s">
        <v>69</v>
      </c>
      <c r="T20" s="33" t="s">
        <v>70</v>
      </c>
      <c r="U20" s="184" t="s">
        <v>244</v>
      </c>
      <c r="V20" s="185" t="s">
        <v>245</v>
      </c>
      <c r="W20" s="185" t="s">
        <v>255</v>
      </c>
      <c r="X20" s="185" t="s">
        <v>246</v>
      </c>
    </row>
    <row r="21" spans="8:24" ht="24" thickBot="1">
      <c r="H21" s="280"/>
      <c r="I21" s="280" t="s">
        <v>80</v>
      </c>
      <c r="J21" s="282">
        <f>VLOOKUP(measurment!$J$11,measurment!$M$12:$U$16,6,FALSE)</f>
        <v>8.4</v>
      </c>
      <c r="K21" s="319"/>
      <c r="L21" s="320" t="s">
        <v>127</v>
      </c>
      <c r="M21" s="457"/>
      <c r="N21" s="458"/>
      <c r="O21" s="463"/>
      <c r="P21" s="34"/>
      <c r="Q21" s="24" t="s">
        <v>67</v>
      </c>
      <c r="R21" s="32"/>
      <c r="S21" s="32"/>
      <c r="T21" s="32"/>
      <c r="U21" s="182"/>
      <c r="V21" s="182"/>
      <c r="W21" s="182"/>
      <c r="X21" s="182"/>
    </row>
    <row r="22" spans="2:24" ht="30.75" customHeight="1" thickBot="1">
      <c r="B22" s="3" t="s">
        <v>119</v>
      </c>
      <c r="C22" t="s">
        <v>385</v>
      </c>
      <c r="D22" t="s">
        <v>391</v>
      </c>
      <c r="E22" s="136">
        <f>694.61-E7*0.6764</f>
        <v>670.936</v>
      </c>
      <c r="F22" s="136" t="s">
        <v>120</v>
      </c>
      <c r="H22" s="281"/>
      <c r="I22" s="281" t="s">
        <v>396</v>
      </c>
      <c r="J22" s="277">
        <f>VLOOKUP(measurment!$J$11,measurment!$M$12:$U$16,7,FALSE)</f>
        <v>7.7</v>
      </c>
      <c r="K22" s="321"/>
      <c r="L22" s="322" t="s">
        <v>83</v>
      </c>
      <c r="M22" s="459" t="s">
        <v>71</v>
      </c>
      <c r="N22" s="460"/>
      <c r="O22" s="26"/>
      <c r="P22" s="190"/>
      <c r="Q22" s="187" t="s">
        <v>72</v>
      </c>
      <c r="R22" s="188" t="s">
        <v>72</v>
      </c>
      <c r="S22" s="188" t="s">
        <v>72</v>
      </c>
      <c r="T22" s="189" t="s">
        <v>73</v>
      </c>
      <c r="U22" s="193" t="s">
        <v>72</v>
      </c>
      <c r="V22" s="188" t="s">
        <v>73</v>
      </c>
      <c r="W22" s="188" t="s">
        <v>73</v>
      </c>
      <c r="X22" s="189" t="s">
        <v>73</v>
      </c>
    </row>
    <row r="23" spans="8:24" ht="27" thickBot="1">
      <c r="H23" s="281"/>
      <c r="I23" s="281" t="s">
        <v>397</v>
      </c>
      <c r="J23" s="277">
        <f>VLOOKUP(measurment!$J$11,measurment!$M$12:$U$16,8,FALSE)</f>
        <v>1.405</v>
      </c>
      <c r="K23" s="321"/>
      <c r="L23" s="322" t="s">
        <v>83</v>
      </c>
      <c r="M23" s="56" t="s">
        <v>74</v>
      </c>
      <c r="N23" s="52"/>
      <c r="O23" s="53" t="s">
        <v>75</v>
      </c>
      <c r="P23" s="191" t="s">
        <v>127</v>
      </c>
      <c r="Q23" s="195">
        <v>35169</v>
      </c>
      <c r="R23" s="41">
        <v>101804</v>
      </c>
      <c r="S23" s="41">
        <v>131985</v>
      </c>
      <c r="T23" s="57">
        <v>45336</v>
      </c>
      <c r="U23" s="117"/>
      <c r="V23" s="115"/>
      <c r="W23" s="115"/>
      <c r="X23" s="176"/>
    </row>
    <row r="24" spans="2:24" ht="27" thickBot="1">
      <c r="B24" s="3" t="s">
        <v>121</v>
      </c>
      <c r="C24" t="s">
        <v>122</v>
      </c>
      <c r="D24" t="s">
        <v>392</v>
      </c>
      <c r="E24" s="135">
        <f>E20*E22</f>
        <v>942.146640672092</v>
      </c>
      <c r="F24" s="136" t="s">
        <v>124</v>
      </c>
      <c r="H24" s="281"/>
      <c r="I24" s="281" t="s">
        <v>398</v>
      </c>
      <c r="J24" s="277">
        <f>VLOOKUP(measurment!$J$11,measurment!$M$12:$T$16,8,FALSE)</f>
        <v>1.405</v>
      </c>
      <c r="K24" s="323"/>
      <c r="L24" s="320" t="s">
        <v>123</v>
      </c>
      <c r="M24" s="56" t="s">
        <v>79</v>
      </c>
      <c r="N24" s="52"/>
      <c r="O24" s="53" t="s">
        <v>80</v>
      </c>
      <c r="P24" s="191" t="s">
        <v>127</v>
      </c>
      <c r="Q24" s="195">
        <v>31652</v>
      </c>
      <c r="R24" s="41">
        <v>93557</v>
      </c>
      <c r="S24" s="41">
        <v>121603</v>
      </c>
      <c r="T24" s="57">
        <v>42770</v>
      </c>
      <c r="U24" s="117"/>
      <c r="V24" s="115"/>
      <c r="W24" s="115"/>
      <c r="X24" s="176"/>
    </row>
    <row r="25" spans="8:24" ht="27" thickBot="1">
      <c r="H25" s="281"/>
      <c r="I25" s="281"/>
      <c r="J25" s="281"/>
      <c r="K25" s="281"/>
      <c r="M25" s="56" t="s">
        <v>81</v>
      </c>
      <c r="N25" s="52"/>
      <c r="O25" s="53" t="s">
        <v>400</v>
      </c>
      <c r="P25" s="192" t="s">
        <v>83</v>
      </c>
      <c r="Q25" s="196">
        <v>8.4</v>
      </c>
      <c r="R25" s="186">
        <v>23.8</v>
      </c>
      <c r="S25" s="186">
        <v>30.94</v>
      </c>
      <c r="T25" s="197">
        <v>11.23</v>
      </c>
      <c r="U25" s="117"/>
      <c r="V25" s="115"/>
      <c r="W25" s="115"/>
      <c r="X25" s="176"/>
    </row>
    <row r="26" spans="2:24" ht="27" thickBot="1">
      <c r="B26" s="3" t="s">
        <v>125</v>
      </c>
      <c r="C26" t="s">
        <v>126</v>
      </c>
      <c r="D26" t="s">
        <v>393</v>
      </c>
      <c r="E26" s="138">
        <f>E24/J20*measurment!E56*3.6</f>
        <v>7.537173125376736</v>
      </c>
      <c r="F26" s="136" t="s">
        <v>19</v>
      </c>
      <c r="M26" s="56" t="s">
        <v>84</v>
      </c>
      <c r="N26" s="52"/>
      <c r="O26" s="53" t="s">
        <v>401</v>
      </c>
      <c r="P26" s="192" t="s">
        <v>83</v>
      </c>
      <c r="Q26" s="196">
        <v>7.7</v>
      </c>
      <c r="R26" s="186">
        <v>21.8</v>
      </c>
      <c r="S26" s="186">
        <v>28.44</v>
      </c>
      <c r="T26" s="197">
        <v>10.49</v>
      </c>
      <c r="U26" s="117"/>
      <c r="V26" s="115"/>
      <c r="W26" s="115"/>
      <c r="X26" s="176"/>
    </row>
    <row r="27" spans="13:24" ht="39.75" thickBot="1">
      <c r="M27" s="58" t="s">
        <v>86</v>
      </c>
      <c r="N27" s="59"/>
      <c r="O27" s="60" t="s">
        <v>402</v>
      </c>
      <c r="P27" s="190" t="s">
        <v>123</v>
      </c>
      <c r="Q27" s="198">
        <v>1.405</v>
      </c>
      <c r="R27" s="199">
        <v>3.3</v>
      </c>
      <c r="S27" s="199">
        <v>4.03</v>
      </c>
      <c r="T27" s="200">
        <v>1.18</v>
      </c>
      <c r="U27" s="194"/>
      <c r="V27" s="170"/>
      <c r="W27" s="170"/>
      <c r="X27" s="183"/>
    </row>
    <row r="30" ht="15.75" thickBot="1">
      <c r="M30" s="10" t="s">
        <v>89</v>
      </c>
    </row>
    <row r="31" spans="13:18" ht="14.25" thickBot="1">
      <c r="M31" s="482" t="s">
        <v>13</v>
      </c>
      <c r="N31" s="460"/>
      <c r="O31" s="37" t="s">
        <v>63</v>
      </c>
      <c r="P31" s="37" t="s">
        <v>64</v>
      </c>
      <c r="Q31" s="37" t="s">
        <v>90</v>
      </c>
      <c r="R31" s="37" t="s">
        <v>91</v>
      </c>
    </row>
    <row r="32" spans="13:18" ht="15.75" thickBot="1">
      <c r="M32" s="465" t="s">
        <v>92</v>
      </c>
      <c r="N32" s="460"/>
      <c r="O32" s="38" t="s">
        <v>93</v>
      </c>
      <c r="P32" s="39" t="s">
        <v>50</v>
      </c>
      <c r="Q32" s="39" t="s">
        <v>94</v>
      </c>
      <c r="R32" s="39">
        <v>50</v>
      </c>
    </row>
    <row r="33" spans="13:18" ht="15.75" thickBot="1">
      <c r="M33" s="465" t="s">
        <v>95</v>
      </c>
      <c r="N33" s="460"/>
      <c r="O33" s="38" t="s">
        <v>96</v>
      </c>
      <c r="P33" s="39" t="s">
        <v>50</v>
      </c>
      <c r="Q33" s="39" t="s">
        <v>94</v>
      </c>
      <c r="R33" s="39">
        <v>100</v>
      </c>
    </row>
    <row r="34" spans="13:18" ht="15.75" thickBot="1">
      <c r="M34" s="465" t="s">
        <v>97</v>
      </c>
      <c r="N34" s="460"/>
      <c r="O34" s="38" t="s">
        <v>403</v>
      </c>
      <c r="P34" s="39" t="s">
        <v>11</v>
      </c>
      <c r="Q34" s="39" t="s">
        <v>94</v>
      </c>
      <c r="R34" s="39">
        <v>6</v>
      </c>
    </row>
  </sheetData>
  <sheetProtection/>
  <mergeCells count="16">
    <mergeCell ref="M10:N10"/>
    <mergeCell ref="L11:L12"/>
    <mergeCell ref="O11:O12"/>
    <mergeCell ref="M31:N31"/>
    <mergeCell ref="M32:N32"/>
    <mergeCell ref="Q19:X19"/>
    <mergeCell ref="M33:N33"/>
    <mergeCell ref="M34:N34"/>
    <mergeCell ref="O9:O10"/>
    <mergeCell ref="M13:V13"/>
    <mergeCell ref="M11:N11"/>
    <mergeCell ref="M12:N12"/>
    <mergeCell ref="M19:N21"/>
    <mergeCell ref="O19:O21"/>
    <mergeCell ref="M22:N22"/>
    <mergeCell ref="M9:N9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2:P32"/>
  <sheetViews>
    <sheetView zoomScalePageLayoutView="0" workbookViewId="0" topLeftCell="A13">
      <selection activeCell="B22" sqref="B22"/>
    </sheetView>
  </sheetViews>
  <sheetFormatPr defaultColWidth="11.00390625" defaultRowHeight="14.25"/>
  <cols>
    <col min="1" max="1" width="5.375" style="8" customWidth="1"/>
    <col min="2" max="2" width="8.00390625" style="3" customWidth="1"/>
    <col min="3" max="3" width="8.25390625" style="0" customWidth="1"/>
    <col min="4" max="4" width="38.75390625" style="0" customWidth="1"/>
    <col min="8" max="8" width="1.25" style="0" customWidth="1"/>
    <col min="9" max="9" width="7.375" style="0" customWidth="1"/>
    <col min="10" max="10" width="1.12109375" style="0" customWidth="1"/>
    <col min="11" max="11" width="8.875" style="0" customWidth="1"/>
    <col min="12" max="12" width="15.125" style="0" customWidth="1"/>
    <col min="14" max="14" width="21.75390625" style="0" customWidth="1"/>
  </cols>
  <sheetData>
    <row r="2" spans="1:12" ht="13.5">
      <c r="A2" s="408" t="s">
        <v>138</v>
      </c>
      <c r="B2" s="409" t="s">
        <v>139</v>
      </c>
      <c r="E2" s="4" t="s">
        <v>10</v>
      </c>
      <c r="F2" s="4" t="s">
        <v>88</v>
      </c>
      <c r="L2" s="213" t="s">
        <v>265</v>
      </c>
    </row>
    <row r="3" spans="1:11" ht="15.75">
      <c r="A3" s="8" t="s">
        <v>499</v>
      </c>
      <c r="B3" s="3">
        <v>33</v>
      </c>
      <c r="C3" s="5" t="s">
        <v>14</v>
      </c>
      <c r="D3" t="s">
        <v>369</v>
      </c>
      <c r="E3" s="139">
        <f>E8-I4+I5</f>
        <v>115384.39479441133</v>
      </c>
      <c r="F3" s="136" t="s">
        <v>464</v>
      </c>
      <c r="G3" s="6" t="s">
        <v>371</v>
      </c>
      <c r="H3" s="6"/>
      <c r="I3">
        <v>0</v>
      </c>
      <c r="K3" t="s">
        <v>18</v>
      </c>
    </row>
    <row r="4" spans="2:14" ht="15.75">
      <c r="B4" s="12"/>
      <c r="C4" s="5"/>
      <c r="E4" s="111"/>
      <c r="G4" s="6" t="s">
        <v>372</v>
      </c>
      <c r="H4" s="6"/>
      <c r="I4" s="141">
        <f>'calculation 5.2'!E53</f>
        <v>115.60520558867472</v>
      </c>
      <c r="J4" s="140"/>
      <c r="K4" s="140" t="s">
        <v>467</v>
      </c>
      <c r="L4" t="s">
        <v>220</v>
      </c>
      <c r="N4" s="23" t="s">
        <v>136</v>
      </c>
    </row>
    <row r="5" spans="2:12" ht="15.75">
      <c r="B5" s="12"/>
      <c r="C5" s="5"/>
      <c r="E5" s="111"/>
      <c r="G5" s="6" t="s">
        <v>373</v>
      </c>
      <c r="H5" s="6"/>
      <c r="I5" s="140">
        <f>'calculation 5.2'!E33</f>
        <v>0</v>
      </c>
      <c r="J5" s="140"/>
      <c r="K5" s="140" t="s">
        <v>18</v>
      </c>
      <c r="L5" t="s">
        <v>220</v>
      </c>
    </row>
    <row r="6" ht="13.5">
      <c r="E6" s="111"/>
    </row>
    <row r="7" spans="2:10" ht="21" customHeight="1">
      <c r="B7" s="83"/>
      <c r="E7" s="111"/>
      <c r="H7" s="130"/>
      <c r="I7" s="130"/>
      <c r="J7" s="130"/>
    </row>
    <row r="8" spans="2:14" ht="21" customHeight="1" thickBot="1">
      <c r="B8" s="3">
        <v>34</v>
      </c>
      <c r="C8" t="s">
        <v>370</v>
      </c>
      <c r="D8" t="s">
        <v>404</v>
      </c>
      <c r="E8" s="139">
        <f>I8*I9+I10</f>
        <v>115500</v>
      </c>
      <c r="F8" s="136" t="s">
        <v>464</v>
      </c>
      <c r="G8" s="6" t="s">
        <v>374</v>
      </c>
      <c r="H8" s="130"/>
      <c r="I8" s="391">
        <f>VLOOKUP('In-output'!B55,N22:O24,2,FALSE)</f>
        <v>1</v>
      </c>
      <c r="J8" s="140"/>
      <c r="K8" s="140" t="s">
        <v>11</v>
      </c>
      <c r="L8" t="s">
        <v>135</v>
      </c>
      <c r="N8" s="22" t="s">
        <v>137</v>
      </c>
    </row>
    <row r="9" spans="2:16" ht="20.25" customHeight="1" thickBot="1">
      <c r="B9" s="12"/>
      <c r="G9" s="6" t="s">
        <v>375</v>
      </c>
      <c r="H9" s="6"/>
      <c r="I9" s="142">
        <f>'In-output'!F9</f>
        <v>105000</v>
      </c>
      <c r="J9" s="140"/>
      <c r="K9" s="140" t="s">
        <v>18</v>
      </c>
      <c r="L9" t="s">
        <v>181</v>
      </c>
      <c r="N9" s="86" t="s">
        <v>13</v>
      </c>
      <c r="O9" s="87"/>
      <c r="P9" s="61" t="s">
        <v>131</v>
      </c>
    </row>
    <row r="10" spans="2:16" ht="17.25" thickBot="1" thickTop="1">
      <c r="B10" s="12"/>
      <c r="G10" s="6" t="s">
        <v>405</v>
      </c>
      <c r="H10" s="6"/>
      <c r="I10" s="142">
        <f>'In-output'!F10</f>
        <v>10500</v>
      </c>
      <c r="J10" s="140"/>
      <c r="K10" s="140" t="s">
        <v>18</v>
      </c>
      <c r="L10" t="s">
        <v>181</v>
      </c>
      <c r="N10" s="84" t="s">
        <v>132</v>
      </c>
      <c r="O10" s="85"/>
      <c r="P10" s="62">
        <v>1</v>
      </c>
    </row>
    <row r="11" spans="2:8" ht="13.5">
      <c r="B11" s="12"/>
      <c r="G11" s="6"/>
      <c r="H11" s="6"/>
    </row>
    <row r="13" spans="1:7" ht="16.5" thickBot="1">
      <c r="A13" s="8" t="s">
        <v>113</v>
      </c>
      <c r="C13" t="s">
        <v>20</v>
      </c>
      <c r="E13" s="277">
        <f>VLOOKUP('In-output'!E22,L22:M32,2,FALSE)</f>
        <v>70</v>
      </c>
      <c r="F13" s="284" t="s">
        <v>19</v>
      </c>
      <c r="G13" t="s">
        <v>307</v>
      </c>
    </row>
    <row r="14" spans="2:6" ht="15.75">
      <c r="B14" s="415"/>
      <c r="C14" t="s">
        <v>477</v>
      </c>
      <c r="D14" t="s">
        <v>478</v>
      </c>
      <c r="E14" s="290">
        <f>I20*E13</f>
        <v>21</v>
      </c>
      <c r="F14" s="284" t="s">
        <v>19</v>
      </c>
    </row>
    <row r="15" spans="2:6" ht="13.5">
      <c r="B15" s="415"/>
      <c r="E15" s="290"/>
      <c r="F15" s="284"/>
    </row>
    <row r="16" spans="7:8" ht="13.5">
      <c r="G16" s="6"/>
      <c r="H16" s="6"/>
    </row>
    <row r="17" spans="2:8" ht="13.5">
      <c r="B17" s="226"/>
      <c r="D17" s="9" t="s">
        <v>318</v>
      </c>
      <c r="G17" s="6"/>
      <c r="H17" s="6"/>
    </row>
    <row r="18" spans="1:8" ht="15.75">
      <c r="A18" s="8" t="s">
        <v>497</v>
      </c>
      <c r="B18" s="226">
        <v>9</v>
      </c>
      <c r="D18" t="s">
        <v>376</v>
      </c>
      <c r="E18" s="144">
        <f>measurment!E58*measurment!E56/100</f>
        <v>69.85052310575097</v>
      </c>
      <c r="F18" s="136" t="s">
        <v>19</v>
      </c>
      <c r="G18" s="6"/>
      <c r="H18" s="6"/>
    </row>
    <row r="19" spans="2:9" ht="15.75">
      <c r="B19" s="226"/>
      <c r="G19" s="6" t="s">
        <v>479</v>
      </c>
      <c r="H19" s="6"/>
      <c r="I19">
        <v>1</v>
      </c>
    </row>
    <row r="20" spans="2:14" ht="16.5" thickBot="1">
      <c r="B20" s="412"/>
      <c r="G20" s="6" t="s">
        <v>480</v>
      </c>
      <c r="H20" s="6"/>
      <c r="I20">
        <v>0.3</v>
      </c>
      <c r="N20" s="10" t="s">
        <v>133</v>
      </c>
    </row>
    <row r="21" spans="1:15" ht="16.5" thickBot="1">
      <c r="A21" s="8" t="s">
        <v>500</v>
      </c>
      <c r="B21" s="412">
        <v>13</v>
      </c>
      <c r="C21" t="s">
        <v>481</v>
      </c>
      <c r="D21" t="s">
        <v>487</v>
      </c>
      <c r="E21" s="144">
        <f>'In-output'!F7-('In-output'!F8*'In-output'!F11)</f>
        <v>720</v>
      </c>
      <c r="F21" s="136" t="s">
        <v>469</v>
      </c>
      <c r="G21" s="6"/>
      <c r="H21" s="6"/>
      <c r="N21" s="36" t="s">
        <v>306</v>
      </c>
      <c r="O21" s="63" t="s">
        <v>131</v>
      </c>
    </row>
    <row r="22" spans="2:15" ht="41.25" thickBot="1">
      <c r="B22" s="412"/>
      <c r="C22" t="s">
        <v>482</v>
      </c>
      <c r="D22" t="s">
        <v>483</v>
      </c>
      <c r="E22" s="144">
        <f>'In-output'!F8*'In-output'!F11</f>
        <v>0</v>
      </c>
      <c r="F22" s="136" t="s">
        <v>469</v>
      </c>
      <c r="G22" s="6"/>
      <c r="H22" s="6"/>
      <c r="N22" s="223" t="s">
        <v>303</v>
      </c>
      <c r="O22" s="64">
        <v>1</v>
      </c>
    </row>
    <row r="23" spans="2:15" ht="39.75" thickBot="1">
      <c r="B23" s="412"/>
      <c r="G23" s="6"/>
      <c r="H23" s="6"/>
      <c r="N23" s="222" t="s">
        <v>304</v>
      </c>
      <c r="O23" s="39">
        <v>1.03</v>
      </c>
    </row>
    <row r="24" spans="2:15" ht="27" thickBot="1">
      <c r="B24" s="412"/>
      <c r="G24" s="6"/>
      <c r="H24" s="6"/>
      <c r="N24" s="222" t="s">
        <v>305</v>
      </c>
      <c r="O24" s="39">
        <v>1.06</v>
      </c>
    </row>
    <row r="25" spans="2:8" ht="13.5">
      <c r="B25" s="412"/>
      <c r="G25" s="6"/>
      <c r="H25" s="6"/>
    </row>
    <row r="26" spans="2:8" ht="13.5">
      <c r="B26" s="412"/>
      <c r="G26" s="6"/>
      <c r="H26" s="6"/>
    </row>
    <row r="27" ht="13.5">
      <c r="B27" s="226"/>
    </row>
    <row r="28" ht="13.5">
      <c r="B28" s="226"/>
    </row>
    <row r="29" ht="14.25" thickBot="1"/>
    <row r="30" spans="4:13" ht="29.25" thickBot="1">
      <c r="D30" s="6" t="s">
        <v>320</v>
      </c>
      <c r="E30" s="277">
        <f>VLOOKUP('In-output'!E22,L30:M32,2,FALSE)</f>
        <v>70</v>
      </c>
      <c r="F30" s="140" t="s">
        <v>19</v>
      </c>
      <c r="L30" s="380" t="s">
        <v>21</v>
      </c>
      <c r="M30" s="434">
        <f>'In-output'!F6</f>
        <v>70</v>
      </c>
    </row>
    <row r="31" spans="12:13" ht="41.25">
      <c r="L31" s="381" t="s">
        <v>316</v>
      </c>
      <c r="M31" s="175">
        <f>E21</f>
        <v>720</v>
      </c>
    </row>
    <row r="32" spans="12:13" ht="42" thickBot="1">
      <c r="L32" s="333" t="s">
        <v>317</v>
      </c>
      <c r="M32" s="163">
        <f>E23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T62"/>
  <sheetViews>
    <sheetView zoomScalePageLayoutView="0" workbookViewId="0" topLeftCell="A34">
      <selection activeCell="A58" sqref="A58"/>
    </sheetView>
  </sheetViews>
  <sheetFormatPr defaultColWidth="11.00390625" defaultRowHeight="14.25"/>
  <cols>
    <col min="1" max="1" width="6.375" style="65" customWidth="1"/>
    <col min="2" max="2" width="5.625" style="66" customWidth="1"/>
    <col min="4" max="4" width="79.50390625" style="0" customWidth="1"/>
    <col min="5" max="5" width="10.50390625" style="0" customWidth="1"/>
    <col min="6" max="6" width="8.50390625" style="0" customWidth="1"/>
    <col min="7" max="7" width="12.75390625" style="0" customWidth="1"/>
    <col min="8" max="10" width="8.50390625" style="0" customWidth="1"/>
    <col min="11" max="11" width="8.875" style="0" customWidth="1"/>
    <col min="12" max="12" width="14.50390625" style="0" customWidth="1"/>
    <col min="13" max="13" width="1.25" style="0" customWidth="1"/>
    <col min="14" max="14" width="6.375" style="0" customWidth="1"/>
    <col min="15" max="15" width="1.12109375" style="0" customWidth="1"/>
    <col min="16" max="16" width="5.75390625" style="0" customWidth="1"/>
    <col min="17" max="17" width="18.50390625" style="94" customWidth="1"/>
    <col min="18" max="18" width="26.00390625" style="0" customWidth="1"/>
    <col min="19" max="19" width="23.50390625" style="0" customWidth="1"/>
    <col min="20" max="20" width="21.875" style="0" customWidth="1"/>
    <col min="21" max="21" width="18.50390625" style="0" customWidth="1"/>
    <col min="22" max="22" width="11.00390625" style="0" customWidth="1"/>
  </cols>
  <sheetData>
    <row r="1" ht="13.5">
      <c r="A1" s="65" t="s">
        <v>113</v>
      </c>
    </row>
    <row r="2" spans="1:17" ht="13.5">
      <c r="A2" s="410" t="s">
        <v>138</v>
      </c>
      <c r="B2" s="411" t="s">
        <v>139</v>
      </c>
      <c r="E2" s="4" t="s">
        <v>10</v>
      </c>
      <c r="F2" s="4" t="s">
        <v>88</v>
      </c>
      <c r="G2" s="4"/>
      <c r="H2" s="4"/>
      <c r="I2" s="4"/>
      <c r="J2" s="4"/>
      <c r="K2" s="4"/>
      <c r="Q2" s="213" t="s">
        <v>265</v>
      </c>
    </row>
    <row r="4" spans="1:16" ht="15.75">
      <c r="A4" s="65" t="s">
        <v>501</v>
      </c>
      <c r="B4" s="66">
        <v>14</v>
      </c>
      <c r="C4" t="s">
        <v>427</v>
      </c>
      <c r="D4" t="s">
        <v>428</v>
      </c>
      <c r="E4" s="143">
        <f>H6+N6*(N7-N8)</f>
        <v>100.06509804001425</v>
      </c>
      <c r="F4" s="136" t="s">
        <v>50</v>
      </c>
      <c r="L4" s="6" t="s">
        <v>216</v>
      </c>
      <c r="M4" s="6"/>
      <c r="N4" s="143">
        <f>tabels!D5+tabels!E5*LOG10(N5)</f>
        <v>95.84509804001425</v>
      </c>
      <c r="O4" s="136"/>
      <c r="P4" s="136" t="s">
        <v>50</v>
      </c>
    </row>
    <row r="5" spans="8:17" ht="15.75">
      <c r="H5" s="6" t="s">
        <v>216</v>
      </c>
      <c r="I5" s="6" t="s">
        <v>215</v>
      </c>
      <c r="J5" s="6" t="s">
        <v>191</v>
      </c>
      <c r="K5" s="292" t="s">
        <v>319</v>
      </c>
      <c r="L5" s="6" t="s">
        <v>174</v>
      </c>
      <c r="M5" s="6"/>
      <c r="N5" s="294">
        <f>K6</f>
        <v>70</v>
      </c>
      <c r="O5" s="140"/>
      <c r="P5" s="140" t="s">
        <v>19</v>
      </c>
      <c r="Q5" s="94" t="s">
        <v>189</v>
      </c>
    </row>
    <row r="6" spans="7:17" ht="16.5" thickBot="1">
      <c r="G6" s="284" t="str">
        <f>'In-output'!E21</f>
        <v>designed</v>
      </c>
      <c r="H6" s="287">
        <f>VLOOKUP($G$6,$G$12:$K$13,2,FALSE)</f>
        <v>95.84509804001425</v>
      </c>
      <c r="I6" s="287">
        <f>VLOOKUP($G$6,$G$12:$K$13,3,FALSE)</f>
        <v>103.00184509804001</v>
      </c>
      <c r="J6" s="288">
        <f>VLOOKUP($G$6,$G$12:$K$13,4,FALSE)</f>
        <v>0.007311740597818231</v>
      </c>
      <c r="K6" s="287">
        <f>VLOOKUP($G$6,$G$12:$K$13,5,FALSE)</f>
        <v>70</v>
      </c>
      <c r="L6" s="6" t="s">
        <v>175</v>
      </c>
      <c r="M6" s="6"/>
      <c r="N6" s="146">
        <f>tabels!AA5</f>
        <v>0.2</v>
      </c>
      <c r="O6" s="140"/>
      <c r="P6" s="140" t="s">
        <v>11</v>
      </c>
      <c r="Q6" s="94" t="s">
        <v>180</v>
      </c>
    </row>
    <row r="7" spans="2:17" ht="15.75">
      <c r="B7" s="66">
        <v>15</v>
      </c>
      <c r="C7" t="s">
        <v>427</v>
      </c>
      <c r="D7" t="s">
        <v>426</v>
      </c>
      <c r="L7" s="98" t="s">
        <v>176</v>
      </c>
      <c r="M7" s="98"/>
      <c r="N7" s="147">
        <f>tabels!V5</f>
        <v>70</v>
      </c>
      <c r="O7" s="140"/>
      <c r="P7" s="140" t="s">
        <v>12</v>
      </c>
      <c r="Q7" s="94" t="s">
        <v>180</v>
      </c>
    </row>
    <row r="8" spans="12:17" ht="15.75">
      <c r="L8" s="98" t="s">
        <v>177</v>
      </c>
      <c r="M8" s="98"/>
      <c r="N8" s="140">
        <f>'In-output'!F15</f>
        <v>48.9</v>
      </c>
      <c r="O8" s="140"/>
      <c r="P8" s="140" t="s">
        <v>12</v>
      </c>
      <c r="Q8" s="94" t="s">
        <v>181</v>
      </c>
    </row>
    <row r="10" spans="13:15" ht="6.75" customHeight="1">
      <c r="M10" s="130"/>
      <c r="N10" s="130"/>
      <c r="O10" s="130"/>
    </row>
    <row r="11" spans="2:18" ht="16.5" thickBot="1">
      <c r="B11" s="66">
        <v>16</v>
      </c>
      <c r="C11" t="s">
        <v>429</v>
      </c>
      <c r="D11" t="s">
        <v>430</v>
      </c>
      <c r="E11" s="144">
        <f>(N11*100-E4)/E4*N5</f>
        <v>7.649451728842723</v>
      </c>
      <c r="F11" s="136" t="s">
        <v>19</v>
      </c>
      <c r="H11" s="6" t="s">
        <v>216</v>
      </c>
      <c r="I11" s="6" t="s">
        <v>215</v>
      </c>
      <c r="J11" s="6" t="s">
        <v>191</v>
      </c>
      <c r="K11" s="292" t="s">
        <v>319</v>
      </c>
      <c r="L11" s="6" t="s">
        <v>182</v>
      </c>
      <c r="M11" s="130"/>
      <c r="N11" s="277">
        <f>VLOOKUP('In-output'!B62,measurment!M12:U19,9,FALSE)</f>
        <v>1.11</v>
      </c>
      <c r="O11" s="140"/>
      <c r="P11" s="140" t="s">
        <v>11</v>
      </c>
      <c r="Q11" s="94" t="s">
        <v>256</v>
      </c>
      <c r="R11" s="22" t="s">
        <v>183</v>
      </c>
    </row>
    <row r="12" spans="7:11" ht="14.25" thickBot="1">
      <c r="G12" s="252" t="s">
        <v>312</v>
      </c>
      <c r="H12" s="285">
        <f>measurment!E58</f>
        <v>99.30726462020706</v>
      </c>
      <c r="I12" s="285">
        <f>measurment!E61</f>
        <v>1.0890276750497327</v>
      </c>
      <c r="J12" s="286">
        <f>measurment!E65</f>
        <v>0.20280077088335652</v>
      </c>
      <c r="K12" s="293">
        <f>'calculation 4.'!E18</f>
        <v>69.85052310575097</v>
      </c>
    </row>
    <row r="13" spans="1:20" ht="15.75">
      <c r="A13" s="65" t="s">
        <v>502</v>
      </c>
      <c r="B13" s="66">
        <v>17</v>
      </c>
      <c r="C13" t="s">
        <v>431</v>
      </c>
      <c r="D13" t="s">
        <v>432</v>
      </c>
      <c r="E13" s="143">
        <f>I6+N15*(N16-N8)</f>
        <v>99.22184509804</v>
      </c>
      <c r="F13" s="136" t="s">
        <v>50</v>
      </c>
      <c r="G13" s="252" t="s">
        <v>313</v>
      </c>
      <c r="H13" s="285">
        <f>N4</f>
        <v>95.84509804001425</v>
      </c>
      <c r="I13" s="285">
        <f>N13</f>
        <v>103.00184509804001</v>
      </c>
      <c r="J13" s="286">
        <f>N19</f>
        <v>0.007311740597818231</v>
      </c>
      <c r="K13" s="284">
        <f>'calculation 4.'!E30</f>
        <v>70</v>
      </c>
      <c r="L13" s="6" t="s">
        <v>215</v>
      </c>
      <c r="M13" s="6"/>
      <c r="N13" s="143">
        <f>tabels!F5+tabels!G5*LOG10(N5)/1000</f>
        <v>103.00184509804001</v>
      </c>
      <c r="O13" s="136"/>
      <c r="P13" s="136" t="s">
        <v>50</v>
      </c>
      <c r="R13" s="495" t="s">
        <v>242</v>
      </c>
      <c r="S13" s="496"/>
      <c r="T13" s="491" t="s">
        <v>240</v>
      </c>
    </row>
    <row r="14" spans="12:20" ht="15.75">
      <c r="L14" s="6" t="s">
        <v>188</v>
      </c>
      <c r="M14" s="6"/>
      <c r="N14" s="136">
        <f>N5*'In-output'!F11</f>
        <v>0</v>
      </c>
      <c r="O14" s="136"/>
      <c r="P14" s="136" t="s">
        <v>19</v>
      </c>
      <c r="Q14" s="94" t="s">
        <v>190</v>
      </c>
      <c r="R14" s="497"/>
      <c r="S14" s="498"/>
      <c r="T14" s="492"/>
    </row>
    <row r="15" spans="12:20" ht="15.75">
      <c r="L15" s="6" t="s">
        <v>184</v>
      </c>
      <c r="M15" s="6"/>
      <c r="N15" s="146">
        <f>tabels!AA5</f>
        <v>0.2</v>
      </c>
      <c r="O15" s="140"/>
      <c r="P15" s="140" t="s">
        <v>11</v>
      </c>
      <c r="Q15" s="94" t="s">
        <v>180</v>
      </c>
      <c r="R15" s="497"/>
      <c r="S15" s="498"/>
      <c r="T15" s="492"/>
    </row>
    <row r="16" spans="12:20" ht="15.75">
      <c r="L16" s="98" t="s">
        <v>185</v>
      </c>
      <c r="M16" s="98"/>
      <c r="N16" s="147">
        <f>tabels!W5</f>
        <v>30</v>
      </c>
      <c r="O16" s="140"/>
      <c r="P16" s="140" t="s">
        <v>12</v>
      </c>
      <c r="Q16" s="94" t="s">
        <v>180</v>
      </c>
      <c r="R16" s="497"/>
      <c r="S16" s="498"/>
      <c r="T16" s="493" t="s">
        <v>241</v>
      </c>
    </row>
    <row r="17" spans="2:20" ht="15.75">
      <c r="B17" s="66">
        <v>18</v>
      </c>
      <c r="C17" t="s">
        <v>437</v>
      </c>
      <c r="D17" t="s">
        <v>438</v>
      </c>
      <c r="E17" s="145">
        <f>(N11*100-E13)/E13</f>
        <v>0.1187052598177563</v>
      </c>
      <c r="F17" s="136" t="s">
        <v>19</v>
      </c>
      <c r="Q17"/>
      <c r="R17" s="497"/>
      <c r="S17" s="498"/>
      <c r="T17" s="492"/>
    </row>
    <row r="18" spans="5:20" ht="13.5">
      <c r="E18" s="108"/>
      <c r="R18" s="497"/>
      <c r="S18" s="498"/>
      <c r="T18" s="494"/>
    </row>
    <row r="19" spans="1:20" ht="17.25">
      <c r="A19" s="65" t="s">
        <v>503</v>
      </c>
      <c r="B19" s="66">
        <v>19</v>
      </c>
      <c r="C19" t="s">
        <v>439</v>
      </c>
      <c r="D19" t="s">
        <v>440</v>
      </c>
      <c r="E19" s="145">
        <f>N5/N4*100*J6*N11*((N8-N20)/(N21-20))^1.25</f>
        <v>0.3917666324170499</v>
      </c>
      <c r="F19" s="136" t="s">
        <v>19</v>
      </c>
      <c r="L19" s="6" t="s">
        <v>191</v>
      </c>
      <c r="M19" s="6"/>
      <c r="N19" s="135">
        <f>tabels!H5*('calculation 5.2'!N5)^tabels!I5/100</f>
        <v>0.007311740597818231</v>
      </c>
      <c r="O19" s="136"/>
      <c r="P19" s="136" t="s">
        <v>11</v>
      </c>
      <c r="Q19" s="94" t="s">
        <v>180</v>
      </c>
      <c r="R19" s="486" t="s">
        <v>254</v>
      </c>
      <c r="S19" s="115" t="s">
        <v>243</v>
      </c>
      <c r="T19" s="179">
        <v>1.06</v>
      </c>
    </row>
    <row r="20" spans="12:20" ht="15.75">
      <c r="L20" s="98" t="s">
        <v>205</v>
      </c>
      <c r="M20" s="98"/>
      <c r="N20" s="147">
        <f>tabels!E10</f>
        <v>13</v>
      </c>
      <c r="O20" s="140"/>
      <c r="P20" s="140" t="s">
        <v>12</v>
      </c>
      <c r="Q20" s="94" t="s">
        <v>180</v>
      </c>
      <c r="R20" s="486"/>
      <c r="S20" s="115" t="s">
        <v>66</v>
      </c>
      <c r="T20" s="180">
        <v>1.11</v>
      </c>
    </row>
    <row r="21" spans="1:20" ht="15.75">
      <c r="A21" s="416"/>
      <c r="B21" s="417"/>
      <c r="C21" s="130"/>
      <c r="D21" s="130"/>
      <c r="E21" s="130"/>
      <c r="F21" s="130"/>
      <c r="L21" s="98" t="s">
        <v>204</v>
      </c>
      <c r="M21" s="98"/>
      <c r="N21" s="147">
        <f>tabels!Y5</f>
        <v>70</v>
      </c>
      <c r="O21" s="140"/>
      <c r="P21" s="140" t="s">
        <v>12</v>
      </c>
      <c r="Q21" s="94" t="s">
        <v>181</v>
      </c>
      <c r="R21" s="486"/>
      <c r="S21" s="115" t="s">
        <v>244</v>
      </c>
      <c r="T21" s="180">
        <v>1.09</v>
      </c>
    </row>
    <row r="22" spans="18:20" ht="13.5">
      <c r="R22" s="486"/>
      <c r="S22" s="115" t="s">
        <v>245</v>
      </c>
      <c r="T22" s="180">
        <v>1.04</v>
      </c>
    </row>
    <row r="23" spans="1:20" ht="15.75">
      <c r="A23" s="65" t="s">
        <v>504</v>
      </c>
      <c r="C23" s="109" t="s">
        <v>433</v>
      </c>
      <c r="R23" s="486"/>
      <c r="S23" s="115" t="s">
        <v>255</v>
      </c>
      <c r="T23" s="180">
        <v>1.07</v>
      </c>
    </row>
    <row r="24" spans="2:20" ht="15.75">
      <c r="B24" s="66">
        <v>20</v>
      </c>
      <c r="C24" t="s">
        <v>436</v>
      </c>
      <c r="D24" t="s">
        <v>441</v>
      </c>
      <c r="E24" s="145">
        <f>N24/N25*(E17-E19)/E19</f>
        <v>-1.3940001521549175</v>
      </c>
      <c r="F24" s="136" t="s">
        <v>19</v>
      </c>
      <c r="L24" s="6" t="s">
        <v>206</v>
      </c>
      <c r="M24" s="6"/>
      <c r="N24" s="140">
        <f>'In-output'!F12</f>
        <v>0.6</v>
      </c>
      <c r="O24" s="140"/>
      <c r="P24" s="140" t="s">
        <v>11</v>
      </c>
      <c r="Q24" s="94" t="s">
        <v>181</v>
      </c>
      <c r="R24" s="177"/>
      <c r="S24" s="115" t="s">
        <v>246</v>
      </c>
      <c r="T24" s="180">
        <v>1.08</v>
      </c>
    </row>
    <row r="25" spans="5:20" ht="15.75">
      <c r="E25" s="108"/>
      <c r="L25" s="6" t="s">
        <v>207</v>
      </c>
      <c r="M25" s="6"/>
      <c r="N25" s="140">
        <f>measurment!I62</f>
        <v>0.3</v>
      </c>
      <c r="O25" s="140"/>
      <c r="P25" s="140" t="s">
        <v>11</v>
      </c>
      <c r="Q25" s="94" t="s">
        <v>181</v>
      </c>
      <c r="R25" s="486" t="s">
        <v>252</v>
      </c>
      <c r="S25" s="115" t="s">
        <v>247</v>
      </c>
      <c r="T25" s="180">
        <v>1</v>
      </c>
    </row>
    <row r="26" spans="3:20" ht="15.75">
      <c r="C26" s="110" t="s">
        <v>434</v>
      </c>
      <c r="E26" s="108"/>
      <c r="L26" s="6" t="s">
        <v>208</v>
      </c>
      <c r="M26" s="6"/>
      <c r="N26" s="140">
        <v>1</v>
      </c>
      <c r="O26" s="140"/>
      <c r="P26" s="140" t="s">
        <v>11</v>
      </c>
      <c r="Q26" s="94" t="s">
        <v>181</v>
      </c>
      <c r="R26" s="486"/>
      <c r="S26" s="115" t="s">
        <v>248</v>
      </c>
      <c r="T26" s="180">
        <v>1</v>
      </c>
    </row>
    <row r="27" spans="2:20" ht="15.75">
      <c r="B27" s="66">
        <v>21</v>
      </c>
      <c r="C27" t="s">
        <v>436</v>
      </c>
      <c r="D27" t="s">
        <v>442</v>
      </c>
      <c r="E27" s="145">
        <f>(N24-N25)/(N26-N25)*(E11-E17)+E17</f>
        <v>3.346168032257028</v>
      </c>
      <c r="F27" s="136" t="s">
        <v>19</v>
      </c>
      <c r="R27" s="487" t="s">
        <v>251</v>
      </c>
      <c r="S27" s="115" t="s">
        <v>247</v>
      </c>
      <c r="T27" s="180">
        <v>1</v>
      </c>
    </row>
    <row r="28" spans="5:20" ht="15" customHeight="1">
      <c r="E28" s="108"/>
      <c r="R28" s="487"/>
      <c r="S28" s="115" t="s">
        <v>248</v>
      </c>
      <c r="T28" s="180">
        <v>1</v>
      </c>
    </row>
    <row r="29" spans="4:20" ht="15" customHeight="1">
      <c r="D29" s="109" t="s">
        <v>435</v>
      </c>
      <c r="E29" s="108"/>
      <c r="R29" s="178" t="s">
        <v>250</v>
      </c>
      <c r="S29" s="115" t="s">
        <v>249</v>
      </c>
      <c r="T29" s="181"/>
    </row>
    <row r="30" spans="4:20" ht="32.25" customHeight="1" thickBot="1">
      <c r="D30" s="6" t="s">
        <v>485</v>
      </c>
      <c r="E30" s="145">
        <f>IF(N24&lt;N25,E24,E27)</f>
        <v>3.346168032257028</v>
      </c>
      <c r="F30" s="136" t="s">
        <v>19</v>
      </c>
      <c r="R30" s="488" t="s">
        <v>253</v>
      </c>
      <c r="S30" s="489"/>
      <c r="T30" s="490"/>
    </row>
    <row r="31" spans="4:5" ht="13.5">
      <c r="D31" s="6"/>
      <c r="E31" s="108"/>
    </row>
    <row r="32" spans="2:17" ht="15.75">
      <c r="B32" s="66">
        <v>22</v>
      </c>
      <c r="C32" t="s">
        <v>447</v>
      </c>
      <c r="D32" t="s">
        <v>443</v>
      </c>
      <c r="E32" s="145">
        <f>E30*N32</f>
        <v>2409.2409832250605</v>
      </c>
      <c r="F32" s="136" t="s">
        <v>464</v>
      </c>
      <c r="L32" s="6" t="s">
        <v>444</v>
      </c>
      <c r="M32" s="6"/>
      <c r="N32" s="140">
        <f>'calculation 4.'!E21</f>
        <v>720</v>
      </c>
      <c r="O32" s="140"/>
      <c r="P32" s="367" t="s">
        <v>469</v>
      </c>
      <c r="Q32" s="94" t="s">
        <v>181</v>
      </c>
    </row>
    <row r="33" spans="1:17" ht="15.75">
      <c r="A33" s="416"/>
      <c r="B33" s="417"/>
      <c r="C33" s="130"/>
      <c r="D33" s="130"/>
      <c r="E33" s="130"/>
      <c r="F33" s="130"/>
      <c r="G33" s="130"/>
      <c r="H33" s="130"/>
      <c r="I33" s="130"/>
      <c r="J33" s="130"/>
      <c r="K33" s="130"/>
      <c r="L33" s="6" t="s">
        <v>484</v>
      </c>
      <c r="M33" s="6"/>
      <c r="N33" s="141">
        <f>'calculation 4.'!E22</f>
        <v>0</v>
      </c>
      <c r="O33" s="140"/>
      <c r="P33" s="367" t="s">
        <v>469</v>
      </c>
      <c r="Q33" s="94" t="s">
        <v>181</v>
      </c>
    </row>
    <row r="34" ht="13.5">
      <c r="Q34"/>
    </row>
    <row r="35" spans="12:16" ht="13.5">
      <c r="L35" s="6"/>
      <c r="M35" s="6"/>
      <c r="N35" s="6"/>
      <c r="O35" s="6"/>
      <c r="P35" s="6"/>
    </row>
    <row r="36" spans="1:16" ht="15.75">
      <c r="A36" s="65" t="s">
        <v>505</v>
      </c>
      <c r="B36" s="66">
        <v>23</v>
      </c>
      <c r="C36" t="s">
        <v>446</v>
      </c>
      <c r="D36" t="s">
        <v>448</v>
      </c>
      <c r="E36" s="145">
        <f>E32+N36</f>
        <v>2429.2409832250605</v>
      </c>
      <c r="F36" s="136" t="s">
        <v>464</v>
      </c>
      <c r="L36" t="s">
        <v>449</v>
      </c>
      <c r="M36" s="6"/>
      <c r="N36" s="418">
        <v>20</v>
      </c>
      <c r="O36" s="418" t="s">
        <v>113</v>
      </c>
      <c r="P36" s="419" t="s">
        <v>445</v>
      </c>
    </row>
    <row r="38" spans="1:12" ht="17.25">
      <c r="A38" s="65" t="s">
        <v>506</v>
      </c>
      <c r="C38" s="109" t="s">
        <v>433</v>
      </c>
      <c r="L38" t="s">
        <v>173</v>
      </c>
    </row>
    <row r="39" spans="2:6" ht="15.75">
      <c r="B39" s="66">
        <v>24</v>
      </c>
      <c r="C39" t="s">
        <v>451</v>
      </c>
      <c r="D39" t="s">
        <v>452</v>
      </c>
      <c r="E39" s="145">
        <f>N24/N25*(N41-N42)+N42</f>
        <v>0.21555169205718605</v>
      </c>
      <c r="F39" s="136" t="s">
        <v>19</v>
      </c>
    </row>
    <row r="40" spans="5:16" ht="15.75">
      <c r="E40" s="108"/>
      <c r="L40" s="6" t="s">
        <v>210</v>
      </c>
      <c r="M40" s="6"/>
      <c r="N40" s="136">
        <f>(tabels!J5+tabels!L5*'calculation 5.2'!N5^tabels!M5)/1000</f>
        <v>0.3458275380857791</v>
      </c>
      <c r="O40" s="136"/>
      <c r="P40" s="136" t="s">
        <v>19</v>
      </c>
    </row>
    <row r="41" spans="3:16" ht="15.75">
      <c r="C41" s="110" t="s">
        <v>434</v>
      </c>
      <c r="E41" s="108"/>
      <c r="L41" s="6" t="s">
        <v>211</v>
      </c>
      <c r="M41" s="6"/>
      <c r="N41" s="136">
        <f>(tabels!N5+tabels!P5*'calculation 5.2'!N5^tabels!Q5)/1000</f>
        <v>0.11527584602859303</v>
      </c>
      <c r="O41" s="136"/>
      <c r="P41" s="136" t="s">
        <v>19</v>
      </c>
    </row>
    <row r="42" spans="2:16" ht="15.75">
      <c r="B42" s="66">
        <v>25</v>
      </c>
      <c r="C42" t="s">
        <v>451</v>
      </c>
      <c r="D42" t="s">
        <v>453</v>
      </c>
      <c r="E42" s="145">
        <f>(N24-N25)/(N26-N25)*(N40-N41)+N41</f>
        <v>0.21408371405310134</v>
      </c>
      <c r="F42" s="136" t="s">
        <v>19</v>
      </c>
      <c r="L42" s="6" t="s">
        <v>212</v>
      </c>
      <c r="M42" s="6"/>
      <c r="N42" s="136">
        <f>(tabels!R5+tabels!T5*'calculation 5.2'!N5^tabels!U5)/1000</f>
        <v>0.015</v>
      </c>
      <c r="O42" s="136"/>
      <c r="P42" s="136" t="s">
        <v>19</v>
      </c>
    </row>
    <row r="43" ht="13.5">
      <c r="E43" s="108"/>
    </row>
    <row r="44" spans="4:5" ht="15.75">
      <c r="D44" s="109" t="s">
        <v>450</v>
      </c>
      <c r="E44" s="108"/>
    </row>
    <row r="45" spans="4:6" ht="15.75">
      <c r="D45" s="6" t="s">
        <v>209</v>
      </c>
      <c r="E45" s="145">
        <f>IF(N24&lt;N25,E39,E42)</f>
        <v>0.21408371405310134</v>
      </c>
      <c r="F45" s="136" t="s">
        <v>19</v>
      </c>
    </row>
    <row r="47" spans="2:17" ht="15.75">
      <c r="B47" s="66">
        <v>26</v>
      </c>
      <c r="C47" t="s">
        <v>454</v>
      </c>
      <c r="D47" t="s">
        <v>455</v>
      </c>
      <c r="E47" s="145">
        <f>E45*N32</f>
        <v>154.14027411823295</v>
      </c>
      <c r="F47" s="136" t="s">
        <v>464</v>
      </c>
      <c r="Q47"/>
    </row>
    <row r="48" ht="13.5">
      <c r="Q48"/>
    </row>
    <row r="49" ht="13.5">
      <c r="Q49"/>
    </row>
    <row r="50" spans="2:17" ht="15.75">
      <c r="B50" s="66">
        <v>27</v>
      </c>
      <c r="C50" t="s">
        <v>456</v>
      </c>
      <c r="D50" t="s">
        <v>457</v>
      </c>
      <c r="E50" s="145">
        <f>E47+N50</f>
        <v>156.14027411823295</v>
      </c>
      <c r="F50" s="136" t="s">
        <v>464</v>
      </c>
      <c r="L50" t="s">
        <v>486</v>
      </c>
      <c r="M50" s="6"/>
      <c r="N50" s="418">
        <v>2</v>
      </c>
      <c r="O50" s="418" t="s">
        <v>113</v>
      </c>
      <c r="P50" s="419" t="s">
        <v>445</v>
      </c>
      <c r="Q50"/>
    </row>
    <row r="51" ht="13.5">
      <c r="Q51"/>
    </row>
    <row r="52" ht="13.5">
      <c r="Q52"/>
    </row>
    <row r="53" spans="1:17" ht="15.75">
      <c r="A53" s="65" t="s">
        <v>507</v>
      </c>
      <c r="B53" s="66">
        <v>28</v>
      </c>
      <c r="C53" t="s">
        <v>458</v>
      </c>
      <c r="D53" t="s">
        <v>459</v>
      </c>
      <c r="E53" s="145">
        <f>E47*N53</f>
        <v>115.60520558867472</v>
      </c>
      <c r="F53" s="136" t="s">
        <v>464</v>
      </c>
      <c r="L53" s="6" t="s">
        <v>213</v>
      </c>
      <c r="M53" s="6"/>
      <c r="N53" s="140">
        <v>0.75</v>
      </c>
      <c r="O53" s="140"/>
      <c r="P53" s="140" t="s">
        <v>11</v>
      </c>
      <c r="Q53" s="94" t="s">
        <v>228</v>
      </c>
    </row>
    <row r="54" spans="12:17" ht="15.75">
      <c r="L54" s="6" t="s">
        <v>214</v>
      </c>
      <c r="M54" s="6"/>
      <c r="N54" s="140">
        <f>1-0.75</f>
        <v>0.25</v>
      </c>
      <c r="O54" s="140"/>
      <c r="P54" s="140" t="s">
        <v>11</v>
      </c>
      <c r="Q54" s="94" t="s">
        <v>229</v>
      </c>
    </row>
    <row r="55" spans="2:17" ht="15.75">
      <c r="B55" s="66">
        <v>29</v>
      </c>
      <c r="C55" t="s">
        <v>460</v>
      </c>
      <c r="D55" t="s">
        <v>461</v>
      </c>
      <c r="E55" s="145">
        <f>E47*(1-N55)*N54</f>
        <v>26.974547970690764</v>
      </c>
      <c r="F55" s="136" t="s">
        <v>464</v>
      </c>
      <c r="L55" s="6" t="s">
        <v>217</v>
      </c>
      <c r="M55" s="6"/>
      <c r="N55" s="140">
        <f>tabels!D10</f>
        <v>0.3</v>
      </c>
      <c r="O55" s="140"/>
      <c r="P55" s="140" t="s">
        <v>11</v>
      </c>
      <c r="Q55" s="94" t="s">
        <v>180</v>
      </c>
    </row>
    <row r="57" spans="1:17" ht="15.75">
      <c r="A57" s="65" t="s">
        <v>508</v>
      </c>
      <c r="B57" s="66">
        <v>30</v>
      </c>
      <c r="C57" t="s">
        <v>462</v>
      </c>
      <c r="D57" t="s">
        <v>463</v>
      </c>
      <c r="E57" s="145">
        <f>E19*(1-N55)*N57*N32</f>
        <v>148.08778705364486</v>
      </c>
      <c r="F57" s="136" t="s">
        <v>464</v>
      </c>
      <c r="L57" s="6" t="s">
        <v>218</v>
      </c>
      <c r="M57" s="6"/>
      <c r="N57" s="146">
        <f>tabels!AB5</f>
        <v>0.75</v>
      </c>
      <c r="O57" s="140"/>
      <c r="P57" s="140" t="s">
        <v>11</v>
      </c>
      <c r="Q57" s="94" t="s">
        <v>180</v>
      </c>
    </row>
    <row r="58" ht="13.5">
      <c r="Q58"/>
    </row>
    <row r="62" ht="13.5">
      <c r="F62">
        <f>9000*0.19</f>
        <v>1710</v>
      </c>
    </row>
  </sheetData>
  <sheetProtection/>
  <mergeCells count="7">
    <mergeCell ref="R25:R26"/>
    <mergeCell ref="R27:R28"/>
    <mergeCell ref="R30:T30"/>
    <mergeCell ref="T13:T15"/>
    <mergeCell ref="T16:T18"/>
    <mergeCell ref="R13:S18"/>
    <mergeCell ref="R19:R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2:AD78"/>
  <sheetViews>
    <sheetView zoomScalePageLayoutView="0" workbookViewId="0" topLeftCell="B1">
      <pane xSplit="2" ySplit="11" topLeftCell="U12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C8" sqref="C8:C9"/>
    </sheetView>
  </sheetViews>
  <sheetFormatPr defaultColWidth="11.00390625" defaultRowHeight="14.25"/>
  <cols>
    <col min="2" max="2" width="9.00390625" style="0" customWidth="1"/>
    <col min="3" max="3" width="74.50390625" style="0" customWidth="1"/>
    <col min="11" max="11" width="1.875" style="0" customWidth="1"/>
    <col min="14" max="14" width="10.125" style="0" customWidth="1"/>
    <col min="15" max="15" width="3.00390625" style="0" customWidth="1"/>
    <col min="19" max="19" width="2.875" style="100" customWidth="1"/>
    <col min="24" max="24" width="2.375" style="0" customWidth="1"/>
    <col min="29" max="29" width="1.625" style="0" customWidth="1"/>
  </cols>
  <sheetData>
    <row r="1" ht="15.75" thickBot="1"/>
    <row r="2" spans="2:30" ht="16.5" thickBot="1">
      <c r="B2" s="130"/>
      <c r="C2" s="535" t="s">
        <v>235</v>
      </c>
      <c r="D2" s="536"/>
      <c r="E2" s="536"/>
      <c r="F2" s="130"/>
      <c r="G2" s="130"/>
      <c r="H2" s="130"/>
      <c r="I2" s="130"/>
      <c r="J2" s="526" t="s">
        <v>168</v>
      </c>
      <c r="K2" s="527"/>
      <c r="L2" s="527"/>
      <c r="M2" s="528"/>
      <c r="N2" s="526" t="s">
        <v>169</v>
      </c>
      <c r="O2" s="527"/>
      <c r="P2" s="527"/>
      <c r="Q2" s="528"/>
      <c r="R2" s="526" t="s">
        <v>170</v>
      </c>
      <c r="S2" s="527"/>
      <c r="T2" s="527"/>
      <c r="U2" s="528"/>
      <c r="V2" s="130"/>
      <c r="W2" s="130"/>
      <c r="X2" s="130"/>
      <c r="Y2" s="130"/>
      <c r="Z2" s="130"/>
      <c r="AA2" s="130"/>
      <c r="AB2" s="130"/>
      <c r="AC2" s="130"/>
      <c r="AD2" s="130"/>
    </row>
    <row r="3" spans="2:30" ht="16.5" customHeight="1" thickTop="1">
      <c r="B3" s="130"/>
      <c r="C3" s="510" t="s">
        <v>134</v>
      </c>
      <c r="D3" s="510" t="s">
        <v>141</v>
      </c>
      <c r="E3" s="510" t="s">
        <v>142</v>
      </c>
      <c r="F3" s="510" t="s">
        <v>143</v>
      </c>
      <c r="G3" s="510" t="s">
        <v>144</v>
      </c>
      <c r="H3" s="233" t="s">
        <v>160</v>
      </c>
      <c r="I3" s="233" t="s">
        <v>161</v>
      </c>
      <c r="J3" s="234" t="s">
        <v>165</v>
      </c>
      <c r="K3" s="546" t="s">
        <v>259</v>
      </c>
      <c r="L3" s="235" t="s">
        <v>166</v>
      </c>
      <c r="M3" s="515" t="s">
        <v>167</v>
      </c>
      <c r="N3" s="234" t="s">
        <v>165</v>
      </c>
      <c r="O3" s="533" t="s">
        <v>259</v>
      </c>
      <c r="P3" s="235" t="s">
        <v>166</v>
      </c>
      <c r="Q3" s="515" t="s">
        <v>167</v>
      </c>
      <c r="R3" s="234" t="s">
        <v>165</v>
      </c>
      <c r="S3" s="533" t="s">
        <v>259</v>
      </c>
      <c r="T3" s="235" t="s">
        <v>166</v>
      </c>
      <c r="U3" s="515" t="s">
        <v>167</v>
      </c>
      <c r="V3" s="236" t="s">
        <v>203</v>
      </c>
      <c r="W3" s="539" t="s">
        <v>202</v>
      </c>
      <c r="X3" s="540"/>
      <c r="Y3" s="237" t="s">
        <v>201</v>
      </c>
      <c r="Z3" s="152" t="s">
        <v>178</v>
      </c>
      <c r="AA3" s="152" t="s">
        <v>179</v>
      </c>
      <c r="AB3" s="238" t="s">
        <v>219</v>
      </c>
      <c r="AC3" s="130"/>
      <c r="AD3" s="130"/>
    </row>
    <row r="4" spans="2:30" ht="14.25" thickBot="1">
      <c r="B4" s="130"/>
      <c r="C4" s="511"/>
      <c r="D4" s="511"/>
      <c r="E4" s="511"/>
      <c r="F4" s="511"/>
      <c r="G4" s="511"/>
      <c r="H4" s="239"/>
      <c r="I4" s="239"/>
      <c r="J4" s="240" t="s">
        <v>130</v>
      </c>
      <c r="K4" s="547"/>
      <c r="L4" s="241" t="s">
        <v>130</v>
      </c>
      <c r="M4" s="516"/>
      <c r="N4" s="240" t="s">
        <v>130</v>
      </c>
      <c r="O4" s="534"/>
      <c r="P4" s="241" t="s">
        <v>130</v>
      </c>
      <c r="Q4" s="516"/>
      <c r="R4" s="240" t="s">
        <v>130</v>
      </c>
      <c r="S4" s="534"/>
      <c r="T4" s="241" t="s">
        <v>130</v>
      </c>
      <c r="U4" s="516"/>
      <c r="V4" s="242" t="s">
        <v>12</v>
      </c>
      <c r="W4" s="242" t="s">
        <v>12</v>
      </c>
      <c r="X4" s="243"/>
      <c r="Y4" s="244" t="s">
        <v>12</v>
      </c>
      <c r="Z4" s="245"/>
      <c r="AA4" s="245"/>
      <c r="AB4" s="245"/>
      <c r="AC4" s="130"/>
      <c r="AD4" s="130"/>
    </row>
    <row r="5" spans="2:30" ht="14.25" thickBot="1">
      <c r="B5" s="130"/>
      <c r="C5" s="130" t="str">
        <f>'In-output'!B52</f>
        <v>Gas-Condensing boiler, improved  - from1994</v>
      </c>
      <c r="D5" s="276">
        <f>VLOOKUP($C$5,$C$19:$AB$55,2,FALSE)</f>
        <v>94</v>
      </c>
      <c r="E5" s="276">
        <f>VLOOKUP($C$5,$C$19:$AB$55,3,FALSE)</f>
        <v>1</v>
      </c>
      <c r="F5" s="276">
        <f>VLOOKUP($C$5,$C$19:$AB$55,4,FALSE)</f>
        <v>103</v>
      </c>
      <c r="G5" s="276">
        <f>VLOOKUP($C$5,$C$19:$AB$55,5,FALSE)</f>
        <v>1</v>
      </c>
      <c r="H5" s="276">
        <f>VLOOKUP($C$5,$C$19:$AB$55,6,FALSE)</f>
        <v>4</v>
      </c>
      <c r="I5" s="276">
        <f>VLOOKUP($C$5,$C$19:$AB$55,7,FALSE)</f>
        <v>-0.4</v>
      </c>
      <c r="J5" s="276">
        <f>VLOOKUP($C$5,$C$19:$AB$55,8,FALSE)</f>
        <v>0</v>
      </c>
      <c r="K5" s="276" t="s">
        <v>113</v>
      </c>
      <c r="L5" s="276">
        <f>VLOOKUP($C$5,$C$19:$AB$55,10,FALSE)</f>
        <v>45</v>
      </c>
      <c r="M5" s="276">
        <f>VLOOKUP($C$5,$C$19:$AB$55,11,FALSE)</f>
        <v>0.48</v>
      </c>
      <c r="N5" s="276">
        <f>VLOOKUP($C$5,$C$19:$AB$55,12,FALSE)</f>
        <v>0</v>
      </c>
      <c r="O5" s="276" t="s">
        <v>113</v>
      </c>
      <c r="P5" s="276">
        <f>VLOOKUP($C$5,$C$19:$AB$55,14,FALSE)</f>
        <v>15</v>
      </c>
      <c r="Q5" s="276">
        <f>VLOOKUP($C$5,$C$19:$AB$55,15,FALSE)</f>
        <v>0.48</v>
      </c>
      <c r="R5" s="276">
        <f>VLOOKUP($C$5,$C$19:$AB$55,16,FALSE)</f>
        <v>15</v>
      </c>
      <c r="S5" s="276" t="s">
        <v>113</v>
      </c>
      <c r="T5" s="276">
        <f>VLOOKUP($C$5,$C$19:$AB$55,18,FALSE)</f>
        <v>0</v>
      </c>
      <c r="U5" s="276">
        <f>VLOOKUP($C$5,$C$19:$AB$55,19,FALSE)</f>
        <v>0</v>
      </c>
      <c r="V5" s="276">
        <f>VLOOKUP($C$5,$C$19:$AB$55,20,FALSE)</f>
        <v>70</v>
      </c>
      <c r="W5" s="276">
        <f>VLOOKUP($C$5,$C$19:$AB$55,21,FALSE)</f>
        <v>30</v>
      </c>
      <c r="X5" s="276">
        <f>VLOOKUP($C$5,$C$19:$AB$55,7,FALSE)</f>
        <v>-0.4</v>
      </c>
      <c r="Y5" s="276">
        <f>VLOOKUP($C$5,$C$19:$AB$55,23,FALSE)</f>
        <v>70</v>
      </c>
      <c r="Z5" s="276">
        <f>VLOOKUP($C$5,$C$19:$AB$55,24,FALSE)</f>
        <v>0.2</v>
      </c>
      <c r="AA5" s="276">
        <f>VLOOKUP($C$5,$C$19:$AB$55,25,FALSE)</f>
        <v>0.2</v>
      </c>
      <c r="AB5" s="276">
        <f>VLOOKUP($C$5,$C$19:$AB$55,26,FALSE)</f>
        <v>0.75</v>
      </c>
      <c r="AC5" s="130"/>
      <c r="AD5" s="130"/>
    </row>
    <row r="6" spans="2:30" ht="13.5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2:30" ht="18" thickBot="1">
      <c r="B7" s="130"/>
      <c r="C7" s="247" t="s">
        <v>200</v>
      </c>
      <c r="D7" s="248"/>
      <c r="E7" s="248"/>
      <c r="F7" s="247" t="s">
        <v>113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246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2:30" ht="48.75">
      <c r="B8" s="130"/>
      <c r="C8" s="537" t="s">
        <v>193</v>
      </c>
      <c r="D8" s="249" t="s">
        <v>194</v>
      </c>
      <c r="E8" s="249" t="s">
        <v>195</v>
      </c>
      <c r="F8" s="247" t="s">
        <v>113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246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</row>
    <row r="9" spans="2:30" ht="18" thickBot="1">
      <c r="B9" s="130"/>
      <c r="C9" s="538"/>
      <c r="D9" s="250" t="s">
        <v>11</v>
      </c>
      <c r="E9" s="250" t="s">
        <v>12</v>
      </c>
      <c r="F9" s="247" t="s">
        <v>113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246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</row>
    <row r="10" spans="2:30" ht="30.75" customHeight="1" thickBot="1">
      <c r="B10" s="130"/>
      <c r="C10" s="251" t="str">
        <f>'In-output'!B58</f>
        <v>In the boiler room</v>
      </c>
      <c r="D10" s="277">
        <f>VLOOKUP($C$10,$C$75:$E$78,2,FALSE)</f>
        <v>0.3</v>
      </c>
      <c r="E10" s="277">
        <f>VLOOKUP($C$10,$C$75:$E$78,3,FALSE)</f>
        <v>13</v>
      </c>
      <c r="F10" s="247" t="s">
        <v>113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246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2:29" ht="17.25">
      <c r="B11" s="130"/>
      <c r="C11" s="130"/>
      <c r="D11" s="130"/>
      <c r="E11" s="130"/>
      <c r="F11" s="247" t="s">
        <v>113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246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3:4" ht="15">
      <c r="C12" s="106"/>
      <c r="D12" s="107"/>
    </row>
    <row r="13" spans="3:4" ht="15">
      <c r="C13" s="106"/>
      <c r="D13" s="107"/>
    </row>
    <row r="14" spans="1:3" ht="16.5" thickBot="1">
      <c r="A14" s="23" t="s">
        <v>31</v>
      </c>
      <c r="B14" s="23"/>
      <c r="C14" s="23" t="s">
        <v>99</v>
      </c>
    </row>
    <row r="15" spans="4:28" ht="20.25" customHeight="1" thickBot="1">
      <c r="D15" s="504" t="s">
        <v>140</v>
      </c>
      <c r="E15" s="505"/>
      <c r="F15" s="505"/>
      <c r="G15" s="506"/>
      <c r="H15" s="500" t="s">
        <v>159</v>
      </c>
      <c r="I15" s="501"/>
      <c r="J15" s="158" t="s">
        <v>164</v>
      </c>
      <c r="K15" s="210"/>
      <c r="L15" s="159"/>
      <c r="M15" s="159"/>
      <c r="N15" s="159"/>
      <c r="O15" s="159"/>
      <c r="P15" s="159"/>
      <c r="Q15" s="159"/>
      <c r="R15" s="159"/>
      <c r="S15" s="160"/>
      <c r="T15" s="159"/>
      <c r="U15" s="161"/>
      <c r="V15" s="166" t="s">
        <v>234</v>
      </c>
      <c r="W15" s="167"/>
      <c r="X15" s="164"/>
      <c r="Y15" s="164" t="s">
        <v>233</v>
      </c>
      <c r="Z15" s="164" t="s">
        <v>230</v>
      </c>
      <c r="AA15" s="164" t="s">
        <v>231</v>
      </c>
      <c r="AB15" s="164" t="s">
        <v>232</v>
      </c>
    </row>
    <row r="16" spans="3:28" ht="16.5" thickBot="1">
      <c r="C16" s="10"/>
      <c r="D16" s="507"/>
      <c r="E16" s="508"/>
      <c r="F16" s="508"/>
      <c r="G16" s="509"/>
      <c r="H16" s="502"/>
      <c r="I16" s="503"/>
      <c r="J16" s="513" t="s">
        <v>168</v>
      </c>
      <c r="K16" s="513"/>
      <c r="L16" s="513"/>
      <c r="M16" s="514"/>
      <c r="N16" s="512" t="s">
        <v>169</v>
      </c>
      <c r="O16" s="513"/>
      <c r="P16" s="513"/>
      <c r="Q16" s="514"/>
      <c r="R16" s="512" t="s">
        <v>170</v>
      </c>
      <c r="S16" s="513"/>
      <c r="T16" s="513"/>
      <c r="U16" s="514"/>
      <c r="V16" s="162"/>
      <c r="W16" s="163"/>
      <c r="X16" s="165"/>
      <c r="Y16" s="165"/>
      <c r="Z16" s="165" t="s">
        <v>113</v>
      </c>
      <c r="AA16" s="165"/>
      <c r="AB16" s="165"/>
    </row>
    <row r="17" spans="3:28" ht="15.75" thickTop="1">
      <c r="C17" s="524" t="s">
        <v>134</v>
      </c>
      <c r="D17" s="524" t="s">
        <v>141</v>
      </c>
      <c r="E17" s="524" t="s">
        <v>142</v>
      </c>
      <c r="F17" s="524" t="s">
        <v>143</v>
      </c>
      <c r="G17" s="524" t="s">
        <v>144</v>
      </c>
      <c r="H17" s="156" t="s">
        <v>160</v>
      </c>
      <c r="I17" s="156" t="s">
        <v>161</v>
      </c>
      <c r="J17" s="90" t="s">
        <v>165</v>
      </c>
      <c r="K17" s="82"/>
      <c r="L17" s="82" t="s">
        <v>166</v>
      </c>
      <c r="M17" s="522" t="s">
        <v>167</v>
      </c>
      <c r="N17" s="90" t="s">
        <v>165</v>
      </c>
      <c r="O17" s="82"/>
      <c r="P17" s="82" t="s">
        <v>166</v>
      </c>
      <c r="Q17" s="522" t="s">
        <v>167</v>
      </c>
      <c r="R17" s="517" t="s">
        <v>165</v>
      </c>
      <c r="S17" s="518"/>
      <c r="T17" s="82" t="s">
        <v>166</v>
      </c>
      <c r="U17" s="522" t="s">
        <v>167</v>
      </c>
      <c r="V17" s="99" t="s">
        <v>203</v>
      </c>
      <c r="W17" s="541" t="s">
        <v>202</v>
      </c>
      <c r="X17" s="542"/>
      <c r="Y17" s="148" t="s">
        <v>201</v>
      </c>
      <c r="Z17" s="152" t="s">
        <v>178</v>
      </c>
      <c r="AA17" s="152" t="s">
        <v>179</v>
      </c>
      <c r="AB17" s="153" t="s">
        <v>219</v>
      </c>
    </row>
    <row r="18" spans="3:28" ht="14.25" thickBot="1">
      <c r="C18" s="525"/>
      <c r="D18" s="525"/>
      <c r="E18" s="525"/>
      <c r="F18" s="525"/>
      <c r="G18" s="525"/>
      <c r="H18" s="157"/>
      <c r="I18" s="157"/>
      <c r="J18" s="91" t="s">
        <v>130</v>
      </c>
      <c r="K18" s="92"/>
      <c r="L18" s="92" t="s">
        <v>130</v>
      </c>
      <c r="M18" s="523"/>
      <c r="N18" s="91" t="s">
        <v>130</v>
      </c>
      <c r="O18" s="92"/>
      <c r="P18" s="92" t="s">
        <v>130</v>
      </c>
      <c r="Q18" s="523"/>
      <c r="R18" s="91" t="s">
        <v>130</v>
      </c>
      <c r="S18" s="101"/>
      <c r="T18" s="92" t="s">
        <v>130</v>
      </c>
      <c r="U18" s="523"/>
      <c r="V18" s="154" t="s">
        <v>12</v>
      </c>
      <c r="W18" s="154" t="s">
        <v>12</v>
      </c>
      <c r="X18" s="74"/>
      <c r="Y18" s="149" t="s">
        <v>12</v>
      </c>
      <c r="Z18" s="155"/>
      <c r="AA18" s="155"/>
      <c r="AB18" s="155"/>
    </row>
    <row r="19" spans="2:28" ht="15" customHeight="1">
      <c r="B19" s="519" t="s">
        <v>145</v>
      </c>
      <c r="C19" s="216" t="s">
        <v>269</v>
      </c>
      <c r="D19" s="202">
        <v>77</v>
      </c>
      <c r="E19" s="202">
        <v>2</v>
      </c>
      <c r="F19" s="202">
        <v>70</v>
      </c>
      <c r="G19" s="202">
        <v>3</v>
      </c>
      <c r="H19" s="203">
        <v>12.5</v>
      </c>
      <c r="I19" s="204">
        <v>-0.28</v>
      </c>
      <c r="J19" s="95">
        <v>0</v>
      </c>
      <c r="K19" s="95"/>
      <c r="L19" s="95">
        <v>45</v>
      </c>
      <c r="M19" s="96">
        <v>0.48</v>
      </c>
      <c r="N19" s="95">
        <v>0</v>
      </c>
      <c r="O19" s="95"/>
      <c r="P19" s="95">
        <v>15</v>
      </c>
      <c r="Q19" s="96">
        <v>0.48</v>
      </c>
      <c r="R19" s="95">
        <v>20</v>
      </c>
      <c r="S19" s="102" t="s">
        <v>187</v>
      </c>
      <c r="T19" s="95">
        <v>0</v>
      </c>
      <c r="U19" s="95">
        <v>0</v>
      </c>
      <c r="V19" s="95">
        <v>70</v>
      </c>
      <c r="W19" s="95">
        <v>50</v>
      </c>
      <c r="X19" s="95"/>
      <c r="Y19" s="97">
        <v>70</v>
      </c>
      <c r="Z19" s="150">
        <v>0</v>
      </c>
      <c r="AA19" s="150">
        <v>0.04</v>
      </c>
      <c r="AB19" s="151">
        <v>0.75</v>
      </c>
    </row>
    <row r="20" spans="2:28" ht="15" customHeight="1" thickBot="1">
      <c r="B20" s="520"/>
      <c r="C20" s="217" t="s">
        <v>270</v>
      </c>
      <c r="D20" s="202">
        <v>79</v>
      </c>
      <c r="E20" s="202">
        <v>2</v>
      </c>
      <c r="F20" s="202">
        <v>74</v>
      </c>
      <c r="G20" s="202">
        <v>3</v>
      </c>
      <c r="H20" s="203">
        <v>12.5</v>
      </c>
      <c r="I20" s="204">
        <v>-0.28</v>
      </c>
      <c r="J20" s="95">
        <v>0</v>
      </c>
      <c r="K20" s="209"/>
      <c r="L20" s="95">
        <v>45</v>
      </c>
      <c r="M20" s="96">
        <v>0.48</v>
      </c>
      <c r="N20" s="95">
        <v>0</v>
      </c>
      <c r="O20" s="95"/>
      <c r="P20" s="95">
        <v>15</v>
      </c>
      <c r="Q20" s="96">
        <v>0.48</v>
      </c>
      <c r="R20" s="95">
        <v>20</v>
      </c>
      <c r="S20" s="102" t="s">
        <v>187</v>
      </c>
      <c r="T20" s="95">
        <v>0</v>
      </c>
      <c r="U20" s="95">
        <v>0</v>
      </c>
      <c r="V20" s="95">
        <v>70</v>
      </c>
      <c r="W20" s="95">
        <v>50</v>
      </c>
      <c r="X20" s="95"/>
      <c r="Y20" s="97">
        <v>70</v>
      </c>
      <c r="Z20" s="150">
        <v>0</v>
      </c>
      <c r="AA20" s="150">
        <v>0.04</v>
      </c>
      <c r="AB20" s="151">
        <v>0.75</v>
      </c>
    </row>
    <row r="21" spans="2:28" ht="15" customHeight="1">
      <c r="B21" s="520"/>
      <c r="C21" s="227" t="s">
        <v>325</v>
      </c>
      <c r="D21" s="202">
        <v>78</v>
      </c>
      <c r="E21" s="202">
        <v>2</v>
      </c>
      <c r="F21" s="202">
        <v>72</v>
      </c>
      <c r="G21" s="202">
        <v>3</v>
      </c>
      <c r="H21" s="205">
        <v>12.5</v>
      </c>
      <c r="I21" s="204">
        <v>-0.28</v>
      </c>
      <c r="J21" s="95">
        <v>40</v>
      </c>
      <c r="K21" s="209" t="s">
        <v>186</v>
      </c>
      <c r="L21" s="96">
        <v>0.35</v>
      </c>
      <c r="M21" s="96">
        <v>1</v>
      </c>
      <c r="N21" s="95">
        <v>20</v>
      </c>
      <c r="O21" s="95"/>
      <c r="P21" s="96">
        <v>0.1</v>
      </c>
      <c r="Q21" s="96">
        <v>1</v>
      </c>
      <c r="R21" s="95">
        <v>15</v>
      </c>
      <c r="S21" s="102" t="s">
        <v>187</v>
      </c>
      <c r="T21" s="95">
        <v>0</v>
      </c>
      <c r="U21" s="95">
        <v>0</v>
      </c>
      <c r="V21" s="95">
        <v>70</v>
      </c>
      <c r="W21" s="95">
        <v>50</v>
      </c>
      <c r="X21" s="95"/>
      <c r="Y21" s="97">
        <v>70</v>
      </c>
      <c r="Z21" s="150">
        <v>0</v>
      </c>
      <c r="AA21" s="150">
        <v>0.04</v>
      </c>
      <c r="AB21" s="151">
        <v>0.5</v>
      </c>
    </row>
    <row r="22" spans="2:28" ht="15" customHeight="1">
      <c r="B22" s="520"/>
      <c r="C22" s="228" t="s">
        <v>326</v>
      </c>
      <c r="D22" s="202">
        <v>80</v>
      </c>
      <c r="E22" s="202">
        <v>2</v>
      </c>
      <c r="F22" s="202">
        <v>75</v>
      </c>
      <c r="G22" s="202">
        <v>3</v>
      </c>
      <c r="H22" s="205">
        <v>10.5</v>
      </c>
      <c r="I22" s="204">
        <v>-0.28</v>
      </c>
      <c r="J22" s="95">
        <v>40</v>
      </c>
      <c r="K22" s="209" t="s">
        <v>186</v>
      </c>
      <c r="L22" s="96">
        <v>0.35</v>
      </c>
      <c r="M22" s="96">
        <v>1</v>
      </c>
      <c r="N22" s="95">
        <v>20</v>
      </c>
      <c r="O22" s="95"/>
      <c r="P22" s="96">
        <v>0.1</v>
      </c>
      <c r="Q22" s="96">
        <v>1</v>
      </c>
      <c r="R22" s="95">
        <v>15</v>
      </c>
      <c r="S22" s="102" t="s">
        <v>187</v>
      </c>
      <c r="T22" s="95">
        <v>0</v>
      </c>
      <c r="U22" s="95">
        <v>0</v>
      </c>
      <c r="V22" s="95">
        <v>70</v>
      </c>
      <c r="W22" s="95">
        <v>50</v>
      </c>
      <c r="X22" s="95"/>
      <c r="Y22" s="97">
        <v>70</v>
      </c>
      <c r="Z22" s="150">
        <v>0</v>
      </c>
      <c r="AA22" s="150">
        <v>0.04</v>
      </c>
      <c r="AB22" s="151">
        <v>0.5</v>
      </c>
    </row>
    <row r="23" spans="2:28" ht="15" customHeight="1" thickBot="1">
      <c r="B23" s="520"/>
      <c r="C23" s="229" t="s">
        <v>324</v>
      </c>
      <c r="D23" s="202">
        <v>81</v>
      </c>
      <c r="E23" s="202">
        <v>2</v>
      </c>
      <c r="F23" s="202">
        <v>77</v>
      </c>
      <c r="G23" s="202">
        <v>3</v>
      </c>
      <c r="H23" s="205">
        <v>8</v>
      </c>
      <c r="I23" s="204">
        <v>-0.28</v>
      </c>
      <c r="J23" s="95">
        <v>40</v>
      </c>
      <c r="K23" s="209" t="s">
        <v>186</v>
      </c>
      <c r="L23" s="96">
        <v>0.35</v>
      </c>
      <c r="M23" s="96">
        <v>1</v>
      </c>
      <c r="N23" s="95">
        <v>20</v>
      </c>
      <c r="O23" s="95"/>
      <c r="P23" s="96">
        <v>0.1</v>
      </c>
      <c r="Q23" s="96">
        <v>1</v>
      </c>
      <c r="R23" s="95">
        <v>15</v>
      </c>
      <c r="S23" s="102" t="s">
        <v>187</v>
      </c>
      <c r="T23" s="95">
        <v>0</v>
      </c>
      <c r="U23" s="95">
        <v>0</v>
      </c>
      <c r="V23" s="95">
        <v>70</v>
      </c>
      <c r="W23" s="95">
        <v>50</v>
      </c>
      <c r="X23" s="95"/>
      <c r="Y23" s="97">
        <v>70</v>
      </c>
      <c r="Z23" s="150">
        <v>0</v>
      </c>
      <c r="AA23" s="150">
        <v>0.04</v>
      </c>
      <c r="AB23" s="151">
        <v>0.5</v>
      </c>
    </row>
    <row r="24" spans="2:28" ht="15" customHeight="1">
      <c r="B24" s="520"/>
      <c r="C24" s="227" t="s">
        <v>271</v>
      </c>
      <c r="D24" s="202">
        <v>79.5</v>
      </c>
      <c r="E24" s="202">
        <v>2</v>
      </c>
      <c r="F24" s="202">
        <v>76</v>
      </c>
      <c r="G24" s="202">
        <v>3</v>
      </c>
      <c r="H24" s="203">
        <v>8</v>
      </c>
      <c r="I24" s="204">
        <v>-0.27</v>
      </c>
      <c r="J24" s="95">
        <v>40</v>
      </c>
      <c r="K24" s="209"/>
      <c r="L24" s="96">
        <v>0.35</v>
      </c>
      <c r="M24" s="96">
        <v>1</v>
      </c>
      <c r="N24" s="95">
        <v>20</v>
      </c>
      <c r="O24" s="95"/>
      <c r="P24" s="96">
        <v>0.1</v>
      </c>
      <c r="Q24" s="96">
        <v>1</v>
      </c>
      <c r="R24" s="95">
        <v>15</v>
      </c>
      <c r="S24" s="102" t="s">
        <v>187</v>
      </c>
      <c r="T24" s="95">
        <v>0</v>
      </c>
      <c r="U24" s="95">
        <v>0</v>
      </c>
      <c r="V24" s="95">
        <v>70</v>
      </c>
      <c r="W24" s="95">
        <v>50</v>
      </c>
      <c r="X24" s="95"/>
      <c r="Y24" s="97">
        <v>70</v>
      </c>
      <c r="Z24" s="150">
        <v>0</v>
      </c>
      <c r="AA24" s="150">
        <v>0.04</v>
      </c>
      <c r="AB24" s="151">
        <v>0.5</v>
      </c>
    </row>
    <row r="25" spans="2:28" ht="15" customHeight="1">
      <c r="B25" s="520"/>
      <c r="C25" s="228" t="s">
        <v>272</v>
      </c>
      <c r="D25" s="202">
        <v>82.5</v>
      </c>
      <c r="E25" s="202">
        <v>2</v>
      </c>
      <c r="F25" s="202">
        <v>78</v>
      </c>
      <c r="G25" s="202">
        <v>3</v>
      </c>
      <c r="H25" s="203">
        <v>7</v>
      </c>
      <c r="I25" s="204">
        <v>-0.3</v>
      </c>
      <c r="J25" s="95">
        <v>40</v>
      </c>
      <c r="K25" s="209"/>
      <c r="L25" s="96">
        <v>0.35</v>
      </c>
      <c r="M25" s="96">
        <v>1</v>
      </c>
      <c r="N25" s="95">
        <v>20</v>
      </c>
      <c r="O25" s="95"/>
      <c r="P25" s="96">
        <v>0.1</v>
      </c>
      <c r="Q25" s="96">
        <v>1</v>
      </c>
      <c r="R25" s="95">
        <v>15</v>
      </c>
      <c r="S25" s="102" t="s">
        <v>187</v>
      </c>
      <c r="T25" s="95">
        <v>0</v>
      </c>
      <c r="U25" s="95">
        <v>0</v>
      </c>
      <c r="V25" s="95">
        <v>70</v>
      </c>
      <c r="W25" s="95">
        <v>50</v>
      </c>
      <c r="X25" s="95"/>
      <c r="Y25" s="97">
        <v>70</v>
      </c>
      <c r="Z25" s="150">
        <v>0</v>
      </c>
      <c r="AA25" s="150">
        <v>0.04</v>
      </c>
      <c r="AB25" s="151">
        <v>0.5</v>
      </c>
    </row>
    <row r="26" spans="2:28" ht="15" customHeight="1" thickBot="1">
      <c r="B26" s="520"/>
      <c r="C26" s="229" t="s">
        <v>273</v>
      </c>
      <c r="D26" s="202">
        <v>85</v>
      </c>
      <c r="E26" s="202">
        <v>2</v>
      </c>
      <c r="F26" s="202">
        <v>81.5</v>
      </c>
      <c r="G26" s="202">
        <v>3</v>
      </c>
      <c r="H26" s="205">
        <v>8.5</v>
      </c>
      <c r="I26" s="204">
        <v>-0.4</v>
      </c>
      <c r="J26" s="95">
        <v>40</v>
      </c>
      <c r="K26" s="209"/>
      <c r="L26" s="96">
        <v>0.35</v>
      </c>
      <c r="M26" s="96">
        <v>1</v>
      </c>
      <c r="N26" s="95">
        <v>20</v>
      </c>
      <c r="O26" s="95"/>
      <c r="P26" s="96">
        <v>0.1</v>
      </c>
      <c r="Q26" s="96">
        <v>1</v>
      </c>
      <c r="R26" s="95">
        <v>15</v>
      </c>
      <c r="S26" s="102" t="s">
        <v>187</v>
      </c>
      <c r="T26" s="95">
        <v>0</v>
      </c>
      <c r="U26" s="95">
        <v>0</v>
      </c>
      <c r="V26" s="95">
        <v>70</v>
      </c>
      <c r="W26" s="95">
        <v>50</v>
      </c>
      <c r="X26" s="95"/>
      <c r="Y26" s="97">
        <v>70</v>
      </c>
      <c r="Z26" s="150">
        <v>0</v>
      </c>
      <c r="AA26" s="150">
        <v>0.04</v>
      </c>
      <c r="AB26" s="151">
        <v>0.5</v>
      </c>
    </row>
    <row r="27" spans="2:28" ht="15" customHeight="1">
      <c r="B27" s="520"/>
      <c r="C27" s="227" t="s">
        <v>327</v>
      </c>
      <c r="D27" s="202">
        <v>79.5</v>
      </c>
      <c r="E27" s="202">
        <v>2</v>
      </c>
      <c r="F27" s="202">
        <v>76</v>
      </c>
      <c r="G27" s="202">
        <v>3</v>
      </c>
      <c r="H27" s="203">
        <v>8</v>
      </c>
      <c r="I27" s="204">
        <v>-0.27</v>
      </c>
      <c r="J27" s="95">
        <v>80</v>
      </c>
      <c r="K27" s="209"/>
      <c r="L27" s="96">
        <v>0.7</v>
      </c>
      <c r="M27" s="96">
        <v>1</v>
      </c>
      <c r="N27" s="95">
        <v>40</v>
      </c>
      <c r="O27" s="95"/>
      <c r="P27" s="96">
        <v>0.2</v>
      </c>
      <c r="Q27" s="96">
        <v>1</v>
      </c>
      <c r="R27" s="95">
        <v>15</v>
      </c>
      <c r="S27" s="102" t="s">
        <v>187</v>
      </c>
      <c r="T27" s="95">
        <v>0</v>
      </c>
      <c r="U27" s="95">
        <v>0</v>
      </c>
      <c r="V27" s="95">
        <v>70</v>
      </c>
      <c r="W27" s="95">
        <v>50</v>
      </c>
      <c r="X27" s="95"/>
      <c r="Y27" s="97">
        <v>70</v>
      </c>
      <c r="Z27" s="150">
        <v>0</v>
      </c>
      <c r="AA27" s="150">
        <v>0.04</v>
      </c>
      <c r="AB27" s="151">
        <v>0.5</v>
      </c>
    </row>
    <row r="28" spans="2:28" ht="15" customHeight="1">
      <c r="B28" s="520"/>
      <c r="C28" s="228" t="s">
        <v>274</v>
      </c>
      <c r="D28" s="202">
        <v>82.5</v>
      </c>
      <c r="E28" s="202">
        <v>2</v>
      </c>
      <c r="F28" s="202">
        <v>78</v>
      </c>
      <c r="G28" s="202">
        <v>3</v>
      </c>
      <c r="H28" s="203">
        <v>7</v>
      </c>
      <c r="I28" s="204">
        <v>-0.3</v>
      </c>
      <c r="J28" s="95">
        <v>80</v>
      </c>
      <c r="K28" s="209"/>
      <c r="L28" s="96">
        <v>0.7</v>
      </c>
      <c r="M28" s="96">
        <v>1</v>
      </c>
      <c r="N28" s="95">
        <v>40</v>
      </c>
      <c r="O28" s="95"/>
      <c r="P28" s="96">
        <v>0.2</v>
      </c>
      <c r="Q28" s="96">
        <v>1</v>
      </c>
      <c r="R28" s="95">
        <v>15</v>
      </c>
      <c r="S28" s="102" t="s">
        <v>187</v>
      </c>
      <c r="T28" s="95">
        <v>0</v>
      </c>
      <c r="U28" s="95">
        <v>0</v>
      </c>
      <c r="V28" s="95">
        <v>70</v>
      </c>
      <c r="W28" s="95">
        <v>50</v>
      </c>
      <c r="X28" s="95"/>
      <c r="Y28" s="97">
        <v>70</v>
      </c>
      <c r="Z28" s="150">
        <v>0</v>
      </c>
      <c r="AA28" s="150">
        <v>0.04</v>
      </c>
      <c r="AB28" s="151">
        <v>0.5</v>
      </c>
    </row>
    <row r="29" spans="2:28" ht="15" customHeight="1" thickBot="1">
      <c r="B29" s="520"/>
      <c r="C29" s="229" t="s">
        <v>275</v>
      </c>
      <c r="D29" s="202">
        <v>85</v>
      </c>
      <c r="E29" s="202">
        <v>2</v>
      </c>
      <c r="F29" s="202">
        <v>81.5</v>
      </c>
      <c r="G29" s="202">
        <v>3</v>
      </c>
      <c r="H29" s="205">
        <v>8.5</v>
      </c>
      <c r="I29" s="204">
        <v>-0.4</v>
      </c>
      <c r="J29" s="95">
        <v>80</v>
      </c>
      <c r="K29" s="209"/>
      <c r="L29" s="96">
        <v>0.7</v>
      </c>
      <c r="M29" s="96">
        <v>1</v>
      </c>
      <c r="N29" s="95">
        <v>40</v>
      </c>
      <c r="O29" s="95"/>
      <c r="P29" s="96">
        <v>0.2</v>
      </c>
      <c r="Q29" s="96">
        <v>1</v>
      </c>
      <c r="R29" s="95">
        <v>15</v>
      </c>
      <c r="S29" s="102" t="s">
        <v>187</v>
      </c>
      <c r="T29" s="95">
        <v>0</v>
      </c>
      <c r="U29" s="95">
        <v>0</v>
      </c>
      <c r="V29" s="95">
        <v>70</v>
      </c>
      <c r="W29" s="95">
        <v>50</v>
      </c>
      <c r="X29" s="95"/>
      <c r="Y29" s="97">
        <v>70</v>
      </c>
      <c r="Z29" s="150">
        <v>0</v>
      </c>
      <c r="AA29" s="150">
        <v>0.04</v>
      </c>
      <c r="AB29" s="151">
        <v>0.5</v>
      </c>
    </row>
    <row r="30" spans="2:28" ht="15" customHeight="1">
      <c r="B30" s="520"/>
      <c r="C30" s="216" t="s">
        <v>276</v>
      </c>
      <c r="D30" s="202">
        <v>80</v>
      </c>
      <c r="E30" s="202">
        <v>2</v>
      </c>
      <c r="F30" s="202">
        <v>75</v>
      </c>
      <c r="G30" s="202">
        <v>3</v>
      </c>
      <c r="H30" s="203">
        <v>9</v>
      </c>
      <c r="I30" s="204">
        <v>-0.28</v>
      </c>
      <c r="J30" s="95">
        <v>0</v>
      </c>
      <c r="K30" s="209"/>
      <c r="L30" s="95">
        <v>45</v>
      </c>
      <c r="M30" s="96">
        <v>0.48</v>
      </c>
      <c r="N30" s="95">
        <v>0</v>
      </c>
      <c r="O30" s="95"/>
      <c r="P30" s="95">
        <v>15</v>
      </c>
      <c r="Q30" s="96">
        <v>0.48</v>
      </c>
      <c r="R30" s="95">
        <v>15</v>
      </c>
      <c r="S30" s="102" t="s">
        <v>187</v>
      </c>
      <c r="T30" s="95">
        <v>0</v>
      </c>
      <c r="U30" s="95">
        <v>0</v>
      </c>
      <c r="V30" s="95">
        <v>70</v>
      </c>
      <c r="W30" s="95">
        <v>50</v>
      </c>
      <c r="X30" s="95"/>
      <c r="Y30" s="97">
        <v>70</v>
      </c>
      <c r="Z30" s="150">
        <v>0</v>
      </c>
      <c r="AA30" s="150">
        <v>0.04</v>
      </c>
      <c r="AB30" s="151">
        <v>0.75</v>
      </c>
    </row>
    <row r="31" spans="2:28" ht="15" customHeight="1">
      <c r="B31" s="520"/>
      <c r="C31" s="218" t="s">
        <v>277</v>
      </c>
      <c r="D31" s="202">
        <v>82</v>
      </c>
      <c r="E31" s="202">
        <v>2</v>
      </c>
      <c r="F31" s="202">
        <v>77.5</v>
      </c>
      <c r="G31" s="202">
        <v>3</v>
      </c>
      <c r="H31" s="205">
        <v>7.5</v>
      </c>
      <c r="I31" s="204">
        <v>-0.31</v>
      </c>
      <c r="J31" s="95">
        <v>0</v>
      </c>
      <c r="K31" s="209"/>
      <c r="L31" s="95">
        <v>45</v>
      </c>
      <c r="M31" s="96">
        <v>0.48</v>
      </c>
      <c r="N31" s="95">
        <v>0</v>
      </c>
      <c r="O31" s="95"/>
      <c r="P31" s="95">
        <v>15</v>
      </c>
      <c r="Q31" s="96">
        <v>0.48</v>
      </c>
      <c r="R31" s="95">
        <v>15</v>
      </c>
      <c r="S31" s="102" t="s">
        <v>187</v>
      </c>
      <c r="T31" s="95">
        <v>0</v>
      </c>
      <c r="U31" s="95">
        <v>0</v>
      </c>
      <c r="V31" s="95">
        <v>70</v>
      </c>
      <c r="W31" s="95">
        <v>50</v>
      </c>
      <c r="X31" s="95"/>
      <c r="Y31" s="97">
        <v>70</v>
      </c>
      <c r="Z31" s="150">
        <v>0</v>
      </c>
      <c r="AA31" s="150">
        <v>0.04</v>
      </c>
      <c r="AB31" s="151">
        <v>0.75</v>
      </c>
    </row>
    <row r="32" spans="2:28" ht="15" customHeight="1">
      <c r="B32" s="520"/>
      <c r="C32" s="218" t="s">
        <v>278</v>
      </c>
      <c r="D32" s="202">
        <v>84</v>
      </c>
      <c r="E32" s="202">
        <v>2</v>
      </c>
      <c r="F32" s="202">
        <v>80</v>
      </c>
      <c r="G32" s="202">
        <v>3</v>
      </c>
      <c r="H32" s="205">
        <v>7.5</v>
      </c>
      <c r="I32" s="204">
        <v>-0.31</v>
      </c>
      <c r="J32" s="95">
        <v>0</v>
      </c>
      <c r="K32" s="209" t="s">
        <v>186</v>
      </c>
      <c r="L32" s="95">
        <v>45</v>
      </c>
      <c r="M32" s="96">
        <v>0.48</v>
      </c>
      <c r="N32" s="95">
        <v>0</v>
      </c>
      <c r="O32" s="95"/>
      <c r="P32" s="95">
        <v>15</v>
      </c>
      <c r="Q32" s="96">
        <v>0.48</v>
      </c>
      <c r="R32" s="95">
        <v>15</v>
      </c>
      <c r="S32" s="102" t="s">
        <v>187</v>
      </c>
      <c r="T32" s="95">
        <v>0</v>
      </c>
      <c r="U32" s="95">
        <v>0</v>
      </c>
      <c r="V32" s="95">
        <v>70</v>
      </c>
      <c r="W32" s="95">
        <v>50</v>
      </c>
      <c r="X32" s="95"/>
      <c r="Y32" s="97">
        <v>70</v>
      </c>
      <c r="Z32" s="150">
        <v>0</v>
      </c>
      <c r="AA32" s="150">
        <v>0.04</v>
      </c>
      <c r="AB32" s="151">
        <v>0.75</v>
      </c>
    </row>
    <row r="33" spans="2:28" ht="15" customHeight="1" thickBot="1">
      <c r="B33" s="520"/>
      <c r="C33" s="217" t="s">
        <v>279</v>
      </c>
      <c r="D33" s="202">
        <v>85</v>
      </c>
      <c r="E33" s="202">
        <v>2</v>
      </c>
      <c r="F33" s="202">
        <v>81.5</v>
      </c>
      <c r="G33" s="202">
        <v>3</v>
      </c>
      <c r="H33" s="205">
        <v>8.5</v>
      </c>
      <c r="I33" s="204">
        <v>-0.4</v>
      </c>
      <c r="J33" s="95">
        <v>0</v>
      </c>
      <c r="K33" s="209" t="s">
        <v>186</v>
      </c>
      <c r="L33" s="95">
        <v>45</v>
      </c>
      <c r="M33" s="96">
        <v>0.48</v>
      </c>
      <c r="N33" s="95">
        <v>0</v>
      </c>
      <c r="O33" s="95"/>
      <c r="P33" s="95">
        <v>15</v>
      </c>
      <c r="Q33" s="96">
        <v>0.48</v>
      </c>
      <c r="R33" s="95">
        <v>15</v>
      </c>
      <c r="S33" s="102" t="s">
        <v>187</v>
      </c>
      <c r="T33" s="95">
        <v>0</v>
      </c>
      <c r="U33" s="95">
        <v>0</v>
      </c>
      <c r="V33" s="95">
        <v>70</v>
      </c>
      <c r="W33" s="95">
        <v>50</v>
      </c>
      <c r="X33" s="95"/>
      <c r="Y33" s="97">
        <v>70</v>
      </c>
      <c r="Z33" s="150">
        <v>0</v>
      </c>
      <c r="AA33" s="150">
        <v>0.04</v>
      </c>
      <c r="AB33" s="151">
        <v>0.75</v>
      </c>
    </row>
    <row r="34" spans="2:28" ht="29.25" customHeight="1" thickBot="1">
      <c r="B34" s="520"/>
      <c r="C34" s="230" t="s">
        <v>280</v>
      </c>
      <c r="D34" s="202">
        <v>90.7</v>
      </c>
      <c r="E34" s="202">
        <v>2</v>
      </c>
      <c r="F34" s="202">
        <v>93.1</v>
      </c>
      <c r="G34" s="202">
        <v>3</v>
      </c>
      <c r="H34" s="203">
        <v>14</v>
      </c>
      <c r="I34" s="204">
        <v>-0.28</v>
      </c>
      <c r="J34" s="95">
        <v>40</v>
      </c>
      <c r="K34" s="209"/>
      <c r="L34" s="302">
        <v>2</v>
      </c>
      <c r="M34" s="96">
        <v>1</v>
      </c>
      <c r="N34" s="95">
        <v>40</v>
      </c>
      <c r="O34" s="95"/>
      <c r="P34" s="302">
        <v>1.8</v>
      </c>
      <c r="Q34" s="96">
        <v>1</v>
      </c>
      <c r="R34" s="95">
        <v>15</v>
      </c>
      <c r="S34" s="102" t="s">
        <v>187</v>
      </c>
      <c r="T34" s="95">
        <v>0</v>
      </c>
      <c r="U34" s="95">
        <v>0</v>
      </c>
      <c r="V34" s="95">
        <v>70</v>
      </c>
      <c r="W34" s="95">
        <v>50</v>
      </c>
      <c r="X34" s="95"/>
      <c r="Y34" s="97">
        <v>70</v>
      </c>
      <c r="Z34" s="150">
        <v>0</v>
      </c>
      <c r="AA34" s="150">
        <v>0.04</v>
      </c>
      <c r="AB34" s="151">
        <v>0.75</v>
      </c>
    </row>
    <row r="35" spans="2:28" ht="29.25" customHeight="1" thickBot="1">
      <c r="B35" s="520"/>
      <c r="C35" s="230" t="s">
        <v>281</v>
      </c>
      <c r="D35" s="202">
        <v>91.6</v>
      </c>
      <c r="E35" s="202">
        <v>2</v>
      </c>
      <c r="F35" s="202">
        <v>94.6</v>
      </c>
      <c r="G35" s="202">
        <v>3</v>
      </c>
      <c r="H35" s="203">
        <v>14</v>
      </c>
      <c r="I35" s="204">
        <v>-0.28</v>
      </c>
      <c r="J35" s="95">
        <v>60</v>
      </c>
      <c r="K35" s="209"/>
      <c r="L35" s="302">
        <v>2.6</v>
      </c>
      <c r="M35" s="96">
        <v>1</v>
      </c>
      <c r="N35" s="95">
        <v>70</v>
      </c>
      <c r="O35" s="95"/>
      <c r="P35" s="302">
        <v>2.2</v>
      </c>
      <c r="Q35" s="96">
        <v>1</v>
      </c>
      <c r="R35" s="95">
        <v>15</v>
      </c>
      <c r="S35" s="102" t="s">
        <v>187</v>
      </c>
      <c r="T35" s="95">
        <v>0</v>
      </c>
      <c r="U35" s="95">
        <v>0</v>
      </c>
      <c r="V35" s="95">
        <v>70</v>
      </c>
      <c r="W35" s="95">
        <v>50</v>
      </c>
      <c r="X35" s="95"/>
      <c r="Y35" s="97">
        <v>70</v>
      </c>
      <c r="Z35" s="150">
        <v>0</v>
      </c>
      <c r="AA35" s="150">
        <v>0.04</v>
      </c>
      <c r="AB35" s="151">
        <v>0.75</v>
      </c>
    </row>
    <row r="36" spans="2:28" ht="15" customHeight="1">
      <c r="B36" s="520"/>
      <c r="C36" s="227" t="s">
        <v>282</v>
      </c>
      <c r="D36" s="202">
        <v>82.5</v>
      </c>
      <c r="E36" s="202">
        <v>2</v>
      </c>
      <c r="F36" s="202">
        <v>78</v>
      </c>
      <c r="G36" s="202">
        <v>3</v>
      </c>
      <c r="H36" s="205">
        <v>9</v>
      </c>
      <c r="I36" s="204">
        <v>-0.28</v>
      </c>
      <c r="J36" s="95">
        <v>0</v>
      </c>
      <c r="K36" s="209"/>
      <c r="L36" s="95">
        <v>45</v>
      </c>
      <c r="M36" s="96">
        <v>0.48</v>
      </c>
      <c r="N36" s="95">
        <v>0</v>
      </c>
      <c r="O36" s="95"/>
      <c r="P36" s="95">
        <v>15</v>
      </c>
      <c r="Q36" s="96">
        <v>0.48</v>
      </c>
      <c r="R36" s="95">
        <v>15</v>
      </c>
      <c r="S36" s="102" t="s">
        <v>187</v>
      </c>
      <c r="T36" s="95">
        <v>0</v>
      </c>
      <c r="U36" s="95">
        <v>0</v>
      </c>
      <c r="V36" s="95">
        <v>70</v>
      </c>
      <c r="W36" s="95">
        <v>50</v>
      </c>
      <c r="X36" s="95"/>
      <c r="Y36" s="97">
        <v>70</v>
      </c>
      <c r="Z36" s="150">
        <v>0</v>
      </c>
      <c r="AA36" s="150">
        <v>0.04</v>
      </c>
      <c r="AB36" s="151">
        <v>0.75</v>
      </c>
    </row>
    <row r="37" spans="2:28" ht="15" customHeight="1" thickBot="1">
      <c r="B37" s="521"/>
      <c r="C37" s="229" t="s">
        <v>283</v>
      </c>
      <c r="D37" s="202">
        <v>84</v>
      </c>
      <c r="E37" s="202">
        <v>2</v>
      </c>
      <c r="F37" s="202">
        <v>80</v>
      </c>
      <c r="G37" s="202">
        <v>3</v>
      </c>
      <c r="H37" s="205">
        <v>7.5</v>
      </c>
      <c r="I37" s="204">
        <v>-0.31</v>
      </c>
      <c r="J37" s="95">
        <v>0</v>
      </c>
      <c r="K37" s="209"/>
      <c r="L37" s="95">
        <v>45</v>
      </c>
      <c r="M37" s="96">
        <v>0.48</v>
      </c>
      <c r="N37" s="95">
        <v>0</v>
      </c>
      <c r="O37" s="95"/>
      <c r="P37" s="95">
        <v>15</v>
      </c>
      <c r="Q37" s="96">
        <v>0.48</v>
      </c>
      <c r="R37" s="95">
        <v>15</v>
      </c>
      <c r="S37" s="102" t="s">
        <v>187</v>
      </c>
      <c r="T37" s="95">
        <v>0</v>
      </c>
      <c r="U37" s="95">
        <v>0</v>
      </c>
      <c r="V37" s="95">
        <v>70</v>
      </c>
      <c r="W37" s="95">
        <v>50</v>
      </c>
      <c r="X37" s="95"/>
      <c r="Y37" s="97">
        <v>70</v>
      </c>
      <c r="Z37" s="150">
        <v>0</v>
      </c>
      <c r="AA37" s="150">
        <v>0.04</v>
      </c>
      <c r="AB37" s="151">
        <v>0.75</v>
      </c>
    </row>
    <row r="38" spans="2:28" ht="15" customHeight="1">
      <c r="B38" s="519" t="s">
        <v>146</v>
      </c>
      <c r="C38" s="216" t="s">
        <v>284</v>
      </c>
      <c r="D38" s="202">
        <v>85.5</v>
      </c>
      <c r="E38" s="202">
        <v>1.5</v>
      </c>
      <c r="F38" s="202">
        <v>86</v>
      </c>
      <c r="G38" s="202">
        <v>1.5</v>
      </c>
      <c r="H38" s="205">
        <v>6</v>
      </c>
      <c r="I38" s="206">
        <v>-0.32</v>
      </c>
      <c r="J38" s="95">
        <v>40</v>
      </c>
      <c r="K38" s="209"/>
      <c r="L38" s="303">
        <v>0.148</v>
      </c>
      <c r="M38" s="96">
        <v>1</v>
      </c>
      <c r="N38" s="95">
        <v>40</v>
      </c>
      <c r="O38" s="95"/>
      <c r="P38" s="303">
        <v>0.148</v>
      </c>
      <c r="Q38" s="96">
        <v>1</v>
      </c>
      <c r="R38" s="95">
        <v>15</v>
      </c>
      <c r="S38" s="102" t="s">
        <v>187</v>
      </c>
      <c r="T38" s="95">
        <v>0</v>
      </c>
      <c r="U38" s="95">
        <v>0</v>
      </c>
      <c r="V38" s="95">
        <v>70</v>
      </c>
      <c r="W38" s="95">
        <v>40</v>
      </c>
      <c r="X38" s="95"/>
      <c r="Y38" s="97">
        <v>70</v>
      </c>
      <c r="Z38" s="150">
        <v>0.04</v>
      </c>
      <c r="AA38" s="150">
        <v>0.04</v>
      </c>
      <c r="AB38" s="151">
        <v>0.5</v>
      </c>
    </row>
    <row r="39" spans="2:28" ht="15" customHeight="1" thickBot="1">
      <c r="B39" s="520"/>
      <c r="C39" s="217" t="s">
        <v>285</v>
      </c>
      <c r="D39" s="202">
        <v>88.5</v>
      </c>
      <c r="E39" s="202">
        <v>1.5</v>
      </c>
      <c r="F39" s="202">
        <v>89</v>
      </c>
      <c r="G39" s="202">
        <v>1.5</v>
      </c>
      <c r="H39" s="205">
        <v>6.1</v>
      </c>
      <c r="I39" s="206">
        <v>-0.4</v>
      </c>
      <c r="J39" s="95">
        <v>40</v>
      </c>
      <c r="K39" s="209"/>
      <c r="L39" s="303">
        <v>0.35</v>
      </c>
      <c r="M39" s="96">
        <v>1</v>
      </c>
      <c r="N39" s="95">
        <v>20</v>
      </c>
      <c r="O39" s="95"/>
      <c r="P39" s="96">
        <v>0.1</v>
      </c>
      <c r="Q39" s="96">
        <v>1</v>
      </c>
      <c r="R39" s="95">
        <v>15</v>
      </c>
      <c r="S39" s="102" t="s">
        <v>187</v>
      </c>
      <c r="T39" s="95">
        <v>0</v>
      </c>
      <c r="U39" s="95">
        <v>0</v>
      </c>
      <c r="V39" s="95">
        <v>70</v>
      </c>
      <c r="W39" s="95">
        <v>40</v>
      </c>
      <c r="X39" s="95"/>
      <c r="Y39" s="97">
        <v>70</v>
      </c>
      <c r="Z39" s="150">
        <v>0.04</v>
      </c>
      <c r="AA39" s="150">
        <v>0.04</v>
      </c>
      <c r="AB39" s="151">
        <v>0.5</v>
      </c>
    </row>
    <row r="40" spans="2:28" ht="15" customHeight="1">
      <c r="B40" s="520"/>
      <c r="C40" s="216" t="s">
        <v>286</v>
      </c>
      <c r="D40" s="202">
        <v>85.5</v>
      </c>
      <c r="E40" s="202">
        <v>1.5</v>
      </c>
      <c r="F40" s="202">
        <v>86</v>
      </c>
      <c r="G40" s="202">
        <v>1.5</v>
      </c>
      <c r="H40" s="205">
        <v>6</v>
      </c>
      <c r="I40" s="206">
        <v>-0.32</v>
      </c>
      <c r="J40" s="95">
        <v>40</v>
      </c>
      <c r="K40" s="209"/>
      <c r="L40" s="303">
        <v>0.148</v>
      </c>
      <c r="M40" s="96">
        <v>1</v>
      </c>
      <c r="N40" s="95">
        <v>40</v>
      </c>
      <c r="O40" s="95"/>
      <c r="P40" s="303">
        <v>0.148</v>
      </c>
      <c r="Q40" s="96">
        <v>1</v>
      </c>
      <c r="R40" s="95">
        <v>15</v>
      </c>
      <c r="S40" s="102" t="s">
        <v>187</v>
      </c>
      <c r="T40" s="95">
        <v>0</v>
      </c>
      <c r="U40" s="95">
        <v>0</v>
      </c>
      <c r="V40" s="95">
        <v>70</v>
      </c>
      <c r="W40" s="95">
        <v>40</v>
      </c>
      <c r="X40" s="95"/>
      <c r="Y40" s="97">
        <v>70</v>
      </c>
      <c r="Z40" s="150">
        <v>0.04</v>
      </c>
      <c r="AA40" s="150">
        <v>0.04</v>
      </c>
      <c r="AB40" s="151">
        <v>0.5</v>
      </c>
    </row>
    <row r="41" spans="2:28" ht="15" customHeight="1" thickBot="1">
      <c r="B41" s="520"/>
      <c r="C41" s="217" t="s">
        <v>287</v>
      </c>
      <c r="D41" s="202">
        <v>88.5</v>
      </c>
      <c r="E41" s="202">
        <v>1.5</v>
      </c>
      <c r="F41" s="202">
        <v>89</v>
      </c>
      <c r="G41" s="202">
        <v>1.5</v>
      </c>
      <c r="H41" s="205">
        <v>6.1</v>
      </c>
      <c r="I41" s="206">
        <v>-0.4</v>
      </c>
      <c r="J41" s="95">
        <v>80</v>
      </c>
      <c r="K41" s="209"/>
      <c r="L41" s="96">
        <v>0.7</v>
      </c>
      <c r="M41" s="96">
        <v>1</v>
      </c>
      <c r="N41" s="95">
        <v>40</v>
      </c>
      <c r="O41" s="95"/>
      <c r="P41" s="96">
        <v>0.2</v>
      </c>
      <c r="Q41" s="96">
        <v>1</v>
      </c>
      <c r="R41" s="95">
        <v>15</v>
      </c>
      <c r="S41" s="102" t="s">
        <v>187</v>
      </c>
      <c r="T41" s="95">
        <v>0</v>
      </c>
      <c r="U41" s="95">
        <v>0</v>
      </c>
      <c r="V41" s="95">
        <v>70</v>
      </c>
      <c r="W41" s="95">
        <v>40</v>
      </c>
      <c r="X41" s="95"/>
      <c r="Y41" s="97">
        <v>70</v>
      </c>
      <c r="Z41" s="150">
        <v>0.04</v>
      </c>
      <c r="AA41" s="150">
        <v>0.04</v>
      </c>
      <c r="AB41" s="151">
        <v>0.5</v>
      </c>
    </row>
    <row r="42" spans="2:28" ht="15" customHeight="1">
      <c r="B42" s="520"/>
      <c r="C42" s="216" t="s">
        <v>288</v>
      </c>
      <c r="D42" s="208">
        <v>84</v>
      </c>
      <c r="E42" s="208">
        <v>1.5</v>
      </c>
      <c r="F42" s="208">
        <v>82</v>
      </c>
      <c r="G42" s="202">
        <v>1.5</v>
      </c>
      <c r="H42" s="204">
        <v>2.2</v>
      </c>
      <c r="I42" s="204">
        <v>0</v>
      </c>
      <c r="J42" s="207">
        <v>0</v>
      </c>
      <c r="K42" s="211"/>
      <c r="L42" s="207">
        <v>45</v>
      </c>
      <c r="M42" s="96">
        <v>0.48</v>
      </c>
      <c r="N42" s="96">
        <v>0</v>
      </c>
      <c r="O42" s="96"/>
      <c r="P42" s="95">
        <v>15</v>
      </c>
      <c r="Q42" s="96">
        <v>0.48</v>
      </c>
      <c r="R42" s="95">
        <v>15</v>
      </c>
      <c r="S42" s="102" t="s">
        <v>187</v>
      </c>
      <c r="T42" s="95">
        <v>0</v>
      </c>
      <c r="U42" s="95">
        <v>0</v>
      </c>
      <c r="V42" s="95">
        <v>70</v>
      </c>
      <c r="W42" s="95">
        <v>40</v>
      </c>
      <c r="X42" s="95"/>
      <c r="Y42" s="97">
        <v>70</v>
      </c>
      <c r="Z42" s="150">
        <v>0.04</v>
      </c>
      <c r="AA42" s="150">
        <v>0.04</v>
      </c>
      <c r="AB42" s="151">
        <v>0.75</v>
      </c>
    </row>
    <row r="43" spans="2:28" ht="15" customHeight="1" thickBot="1">
      <c r="B43" s="520"/>
      <c r="C43" s="217" t="s">
        <v>289</v>
      </c>
      <c r="D43" s="208">
        <v>86</v>
      </c>
      <c r="E43" s="208">
        <v>1.5</v>
      </c>
      <c r="F43" s="208">
        <v>82</v>
      </c>
      <c r="G43" s="202">
        <v>1.5</v>
      </c>
      <c r="H43" s="204">
        <v>2.2</v>
      </c>
      <c r="I43" s="204">
        <v>0</v>
      </c>
      <c r="J43" s="207">
        <v>0</v>
      </c>
      <c r="K43" s="211"/>
      <c r="L43" s="207">
        <v>45</v>
      </c>
      <c r="M43" s="96">
        <v>0.48</v>
      </c>
      <c r="N43" s="96">
        <v>0</v>
      </c>
      <c r="O43" s="96"/>
      <c r="P43" s="95">
        <v>15</v>
      </c>
      <c r="Q43" s="96">
        <v>0.48</v>
      </c>
      <c r="R43" s="95">
        <v>15</v>
      </c>
      <c r="S43" s="102" t="s">
        <v>187</v>
      </c>
      <c r="T43" s="95">
        <v>0</v>
      </c>
      <c r="U43" s="95">
        <v>0</v>
      </c>
      <c r="V43" s="95">
        <v>70</v>
      </c>
      <c r="W43" s="95">
        <v>40</v>
      </c>
      <c r="X43" s="95"/>
      <c r="Y43" s="97">
        <v>70</v>
      </c>
      <c r="Z43" s="150">
        <v>0.04</v>
      </c>
      <c r="AA43" s="150">
        <v>0.04</v>
      </c>
      <c r="AB43" s="151">
        <v>0.75</v>
      </c>
    </row>
    <row r="44" spans="2:28" ht="15" customHeight="1" thickBot="1">
      <c r="B44" s="520"/>
      <c r="C44" s="231" t="s">
        <v>290</v>
      </c>
      <c r="D44" s="208">
        <v>86</v>
      </c>
      <c r="E44" s="208">
        <v>1.5</v>
      </c>
      <c r="F44" s="208">
        <v>82</v>
      </c>
      <c r="G44" s="202">
        <v>1.5</v>
      </c>
      <c r="H44" s="204">
        <v>2.2</v>
      </c>
      <c r="I44" s="204">
        <v>0</v>
      </c>
      <c r="J44" s="207">
        <v>0</v>
      </c>
      <c r="K44" s="211"/>
      <c r="L44" s="207">
        <v>45</v>
      </c>
      <c r="M44" s="96">
        <v>0.48</v>
      </c>
      <c r="N44" s="96">
        <v>0</v>
      </c>
      <c r="O44" s="96"/>
      <c r="P44" s="95">
        <v>15</v>
      </c>
      <c r="Q44" s="96">
        <v>0.48</v>
      </c>
      <c r="R44" s="95">
        <v>15</v>
      </c>
      <c r="S44" s="102" t="s">
        <v>187</v>
      </c>
      <c r="T44" s="95">
        <v>0</v>
      </c>
      <c r="U44" s="95">
        <v>0</v>
      </c>
      <c r="V44" s="95">
        <v>70</v>
      </c>
      <c r="W44" s="95">
        <v>40</v>
      </c>
      <c r="X44" s="95"/>
      <c r="Y44" s="97">
        <v>70</v>
      </c>
      <c r="Z44" s="150">
        <v>0.04</v>
      </c>
      <c r="AA44" s="150">
        <v>0.04</v>
      </c>
      <c r="AB44" s="151">
        <v>0.75</v>
      </c>
    </row>
    <row r="45" spans="2:28" ht="15" customHeight="1" thickBot="1">
      <c r="B45" s="520"/>
      <c r="C45" s="231" t="s">
        <v>291</v>
      </c>
      <c r="D45" s="208">
        <v>86</v>
      </c>
      <c r="E45" s="208">
        <v>1.5</v>
      </c>
      <c r="F45" s="208">
        <v>82</v>
      </c>
      <c r="G45" s="202">
        <v>1.5</v>
      </c>
      <c r="H45" s="204">
        <v>1.2</v>
      </c>
      <c r="I45" s="204">
        <v>0</v>
      </c>
      <c r="J45" s="207">
        <v>0</v>
      </c>
      <c r="K45" s="211"/>
      <c r="L45" s="207">
        <v>45</v>
      </c>
      <c r="M45" s="96">
        <v>0.48</v>
      </c>
      <c r="N45" s="96">
        <v>0</v>
      </c>
      <c r="O45" s="96"/>
      <c r="P45" s="95">
        <v>15</v>
      </c>
      <c r="Q45" s="96">
        <v>0.48</v>
      </c>
      <c r="R45" s="95">
        <v>15</v>
      </c>
      <c r="S45" s="102" t="s">
        <v>187</v>
      </c>
      <c r="T45" s="95">
        <v>0</v>
      </c>
      <c r="U45" s="95">
        <v>0</v>
      </c>
      <c r="V45" s="95">
        <v>70</v>
      </c>
      <c r="W45" s="95">
        <v>40</v>
      </c>
      <c r="X45" s="95"/>
      <c r="Y45" s="97">
        <v>70</v>
      </c>
      <c r="Z45" s="150">
        <v>0.04</v>
      </c>
      <c r="AA45" s="150">
        <v>0.04</v>
      </c>
      <c r="AB45" s="151">
        <v>0.75</v>
      </c>
    </row>
    <row r="46" spans="2:28" ht="15" customHeight="1">
      <c r="B46" s="520"/>
      <c r="C46" s="216" t="s">
        <v>294</v>
      </c>
      <c r="D46" s="208">
        <v>84</v>
      </c>
      <c r="E46" s="208">
        <v>1.5</v>
      </c>
      <c r="F46" s="208">
        <v>82</v>
      </c>
      <c r="G46" s="202">
        <v>1.5</v>
      </c>
      <c r="H46" s="203">
        <v>7</v>
      </c>
      <c r="I46" s="204">
        <v>-0.37</v>
      </c>
      <c r="J46" s="207">
        <v>0</v>
      </c>
      <c r="K46" s="211"/>
      <c r="L46" s="207">
        <v>45</v>
      </c>
      <c r="M46" s="96">
        <v>0.48</v>
      </c>
      <c r="N46" s="96">
        <v>0</v>
      </c>
      <c r="O46" s="96"/>
      <c r="P46" s="95">
        <v>15</v>
      </c>
      <c r="Q46" s="96">
        <v>0.48</v>
      </c>
      <c r="R46" s="95">
        <v>15</v>
      </c>
      <c r="S46" s="102" t="s">
        <v>187</v>
      </c>
      <c r="T46" s="95">
        <v>0</v>
      </c>
      <c r="U46" s="95">
        <v>0</v>
      </c>
      <c r="V46" s="95">
        <v>70</v>
      </c>
      <c r="W46" s="95">
        <v>40</v>
      </c>
      <c r="X46" s="95"/>
      <c r="Y46" s="97">
        <v>70</v>
      </c>
      <c r="Z46" s="150">
        <v>0.04</v>
      </c>
      <c r="AA46" s="150">
        <v>0.04</v>
      </c>
      <c r="AB46" s="151">
        <v>0.75</v>
      </c>
    </row>
    <row r="47" spans="2:28" ht="15" customHeight="1">
      <c r="B47" s="520"/>
      <c r="C47" s="218" t="s">
        <v>295</v>
      </c>
      <c r="D47" s="208">
        <v>86</v>
      </c>
      <c r="E47" s="208">
        <v>1.5</v>
      </c>
      <c r="F47" s="208">
        <v>86</v>
      </c>
      <c r="G47" s="202">
        <v>1.5</v>
      </c>
      <c r="H47" s="203">
        <v>7</v>
      </c>
      <c r="I47" s="204">
        <v>-0.37</v>
      </c>
      <c r="J47" s="207">
        <v>0</v>
      </c>
      <c r="K47" s="211"/>
      <c r="L47" s="207">
        <v>45</v>
      </c>
      <c r="M47" s="96">
        <v>0.48</v>
      </c>
      <c r="N47" s="96">
        <v>0</v>
      </c>
      <c r="O47" s="96"/>
      <c r="P47" s="95">
        <v>15</v>
      </c>
      <c r="Q47" s="96">
        <v>0.48</v>
      </c>
      <c r="R47" s="95">
        <v>15</v>
      </c>
      <c r="S47" s="102" t="s">
        <v>187</v>
      </c>
      <c r="T47" s="95">
        <v>0</v>
      </c>
      <c r="U47" s="95">
        <v>0</v>
      </c>
      <c r="V47" s="95">
        <v>70</v>
      </c>
      <c r="W47" s="95">
        <v>40</v>
      </c>
      <c r="X47" s="95"/>
      <c r="Y47" s="97">
        <v>70</v>
      </c>
      <c r="Z47" s="150">
        <v>0.04</v>
      </c>
      <c r="AA47" s="150">
        <v>0.04</v>
      </c>
      <c r="AB47" s="151">
        <v>0.75</v>
      </c>
    </row>
    <row r="48" spans="2:28" ht="15" customHeight="1" thickBot="1">
      <c r="B48" s="520"/>
      <c r="C48" s="217" t="s">
        <v>296</v>
      </c>
      <c r="D48" s="208">
        <v>88.5</v>
      </c>
      <c r="E48" s="208">
        <v>1.5</v>
      </c>
      <c r="F48" s="208">
        <v>89</v>
      </c>
      <c r="G48" s="202">
        <v>1.5</v>
      </c>
      <c r="H48" s="206">
        <v>4.25</v>
      </c>
      <c r="I48" s="206">
        <v>-0.4</v>
      </c>
      <c r="J48" s="207">
        <v>0</v>
      </c>
      <c r="K48" s="211"/>
      <c r="L48" s="207">
        <v>45</v>
      </c>
      <c r="M48" s="96">
        <v>0.48</v>
      </c>
      <c r="N48" s="96">
        <v>0</v>
      </c>
      <c r="O48" s="96"/>
      <c r="P48" s="95">
        <v>15</v>
      </c>
      <c r="Q48" s="96">
        <v>0.48</v>
      </c>
      <c r="R48" s="95">
        <v>15</v>
      </c>
      <c r="S48" s="102" t="s">
        <v>187</v>
      </c>
      <c r="T48" s="95">
        <v>0</v>
      </c>
      <c r="U48" s="95">
        <v>0</v>
      </c>
      <c r="V48" s="95">
        <v>70</v>
      </c>
      <c r="W48" s="95">
        <v>40</v>
      </c>
      <c r="X48" s="95"/>
      <c r="Y48" s="97">
        <v>70</v>
      </c>
      <c r="Z48" s="150">
        <v>0.04</v>
      </c>
      <c r="AA48" s="150">
        <v>0.04</v>
      </c>
      <c r="AB48" s="151">
        <v>0.75</v>
      </c>
    </row>
    <row r="49" spans="2:28" ht="15" customHeight="1">
      <c r="B49" s="520"/>
      <c r="C49" s="216" t="s">
        <v>292</v>
      </c>
      <c r="D49" s="208">
        <v>86</v>
      </c>
      <c r="E49" s="208">
        <v>1.5</v>
      </c>
      <c r="F49" s="208">
        <v>85</v>
      </c>
      <c r="G49" s="202">
        <v>1.5</v>
      </c>
      <c r="H49" s="203">
        <v>7</v>
      </c>
      <c r="I49" s="204">
        <v>-0.37</v>
      </c>
      <c r="J49" s="207">
        <v>0</v>
      </c>
      <c r="K49" s="211"/>
      <c r="L49" s="207">
        <v>45</v>
      </c>
      <c r="M49" s="96">
        <v>0.48</v>
      </c>
      <c r="N49" s="96">
        <v>0</v>
      </c>
      <c r="O49" s="96"/>
      <c r="P49" s="95">
        <v>15</v>
      </c>
      <c r="Q49" s="96">
        <v>0.48</v>
      </c>
      <c r="R49" s="95">
        <v>15</v>
      </c>
      <c r="S49" s="102" t="s">
        <v>187</v>
      </c>
      <c r="T49" s="95">
        <v>0</v>
      </c>
      <c r="U49" s="95">
        <v>0</v>
      </c>
      <c r="V49" s="95">
        <v>70</v>
      </c>
      <c r="W49" s="95">
        <v>40</v>
      </c>
      <c r="X49" s="95"/>
      <c r="Y49" s="97">
        <v>70</v>
      </c>
      <c r="Z49" s="150">
        <v>0.04</v>
      </c>
      <c r="AA49" s="150">
        <v>0.04</v>
      </c>
      <c r="AB49" s="151">
        <v>0.75</v>
      </c>
    </row>
    <row r="50" spans="2:28" ht="15" customHeight="1" thickBot="1">
      <c r="B50" s="521"/>
      <c r="C50" s="217" t="s">
        <v>293</v>
      </c>
      <c r="D50" s="208">
        <v>86</v>
      </c>
      <c r="E50" s="208">
        <v>1.5</v>
      </c>
      <c r="F50" s="208">
        <v>86</v>
      </c>
      <c r="G50" s="202">
        <v>1.5</v>
      </c>
      <c r="H50" s="203">
        <v>7</v>
      </c>
      <c r="I50" s="204">
        <v>-0.37</v>
      </c>
      <c r="J50" s="207">
        <v>0</v>
      </c>
      <c r="K50" s="211"/>
      <c r="L50" s="207">
        <v>45</v>
      </c>
      <c r="M50" s="96">
        <v>0.48</v>
      </c>
      <c r="N50" s="96">
        <v>0</v>
      </c>
      <c r="O50" s="96"/>
      <c r="P50" s="95">
        <v>15</v>
      </c>
      <c r="Q50" s="96">
        <v>0.48</v>
      </c>
      <c r="R50" s="95">
        <v>15</v>
      </c>
      <c r="S50" s="102" t="s">
        <v>187</v>
      </c>
      <c r="T50" s="95">
        <v>0</v>
      </c>
      <c r="U50" s="95">
        <v>0</v>
      </c>
      <c r="V50" s="95">
        <v>70</v>
      </c>
      <c r="W50" s="95">
        <v>40</v>
      </c>
      <c r="X50" s="95"/>
      <c r="Y50" s="97">
        <v>70</v>
      </c>
      <c r="Z50" s="150">
        <v>0.04</v>
      </c>
      <c r="AA50" s="150">
        <v>0.04</v>
      </c>
      <c r="AB50" s="151">
        <v>0.75</v>
      </c>
    </row>
    <row r="51" spans="2:28" ht="15" customHeight="1">
      <c r="B51" s="519" t="s">
        <v>330</v>
      </c>
      <c r="C51" s="216" t="s">
        <v>267</v>
      </c>
      <c r="D51" s="208">
        <v>89</v>
      </c>
      <c r="E51" s="208">
        <v>1</v>
      </c>
      <c r="F51" s="208">
        <v>95</v>
      </c>
      <c r="G51" s="208">
        <v>1</v>
      </c>
      <c r="H51" s="205">
        <v>7</v>
      </c>
      <c r="I51" s="206">
        <v>-0.37</v>
      </c>
      <c r="J51" s="207">
        <v>0</v>
      </c>
      <c r="K51" s="211"/>
      <c r="L51" s="207">
        <v>45</v>
      </c>
      <c r="M51" s="96">
        <v>0.48</v>
      </c>
      <c r="N51" s="96">
        <v>0</v>
      </c>
      <c r="O51" s="96"/>
      <c r="P51" s="95">
        <v>15</v>
      </c>
      <c r="Q51" s="96">
        <v>0.48</v>
      </c>
      <c r="R51" s="95">
        <v>15</v>
      </c>
      <c r="S51" s="102" t="s">
        <v>187</v>
      </c>
      <c r="T51" s="95">
        <v>0</v>
      </c>
      <c r="U51" s="95">
        <v>0</v>
      </c>
      <c r="V51" s="95">
        <v>70</v>
      </c>
      <c r="W51" s="95">
        <v>30</v>
      </c>
      <c r="X51" s="209" t="s">
        <v>186</v>
      </c>
      <c r="Y51" s="97">
        <v>70</v>
      </c>
      <c r="Z51" s="150">
        <v>0.2</v>
      </c>
      <c r="AA51" s="150">
        <v>0.2</v>
      </c>
      <c r="AB51" s="151">
        <v>0.75</v>
      </c>
    </row>
    <row r="52" spans="2:28" ht="15" customHeight="1">
      <c r="B52" s="520"/>
      <c r="C52" s="218" t="s">
        <v>266</v>
      </c>
      <c r="D52" s="208">
        <v>91</v>
      </c>
      <c r="E52" s="208">
        <v>1</v>
      </c>
      <c r="F52" s="208">
        <v>97.5</v>
      </c>
      <c r="G52" s="208">
        <v>1</v>
      </c>
      <c r="H52" s="205">
        <v>7</v>
      </c>
      <c r="I52" s="206">
        <v>-0.37</v>
      </c>
      <c r="J52" s="207">
        <v>0</v>
      </c>
      <c r="K52" s="211"/>
      <c r="L52" s="207">
        <v>45</v>
      </c>
      <c r="M52" s="96">
        <v>0.48</v>
      </c>
      <c r="N52" s="96">
        <v>0</v>
      </c>
      <c r="O52" s="96"/>
      <c r="P52" s="95">
        <v>15</v>
      </c>
      <c r="Q52" s="96">
        <v>0.48</v>
      </c>
      <c r="R52" s="95">
        <v>15</v>
      </c>
      <c r="S52" s="102" t="s">
        <v>187</v>
      </c>
      <c r="T52" s="95">
        <v>0</v>
      </c>
      <c r="U52" s="95">
        <v>0</v>
      </c>
      <c r="V52" s="95">
        <v>70</v>
      </c>
      <c r="W52" s="95">
        <v>30</v>
      </c>
      <c r="X52" s="209" t="s">
        <v>186</v>
      </c>
      <c r="Y52" s="97">
        <v>70</v>
      </c>
      <c r="Z52" s="150">
        <v>0.2</v>
      </c>
      <c r="AA52" s="150">
        <v>0.2</v>
      </c>
      <c r="AB52" s="151">
        <v>0.75</v>
      </c>
    </row>
    <row r="53" spans="2:28" ht="15" customHeight="1" thickBot="1">
      <c r="B53" s="520"/>
      <c r="C53" s="217" t="s">
        <v>268</v>
      </c>
      <c r="D53" s="208">
        <v>92</v>
      </c>
      <c r="E53" s="208">
        <v>1</v>
      </c>
      <c r="F53" s="208">
        <v>98</v>
      </c>
      <c r="G53" s="208">
        <v>1</v>
      </c>
      <c r="H53" s="205">
        <v>4</v>
      </c>
      <c r="I53" s="206">
        <v>-0.4</v>
      </c>
      <c r="J53" s="207">
        <v>0</v>
      </c>
      <c r="K53" s="211"/>
      <c r="L53" s="207">
        <v>45</v>
      </c>
      <c r="M53" s="96">
        <v>0.48</v>
      </c>
      <c r="N53" s="96">
        <v>0</v>
      </c>
      <c r="O53" s="96"/>
      <c r="P53" s="95">
        <v>15</v>
      </c>
      <c r="Q53" s="96">
        <v>0.48</v>
      </c>
      <c r="R53" s="95">
        <v>15</v>
      </c>
      <c r="S53" s="102" t="s">
        <v>187</v>
      </c>
      <c r="T53" s="95">
        <v>0</v>
      </c>
      <c r="U53" s="95">
        <v>0</v>
      </c>
      <c r="V53" s="95">
        <v>70</v>
      </c>
      <c r="W53" s="95">
        <v>30</v>
      </c>
      <c r="X53" s="209" t="s">
        <v>186</v>
      </c>
      <c r="Y53" s="97">
        <v>70</v>
      </c>
      <c r="Z53" s="150">
        <v>0.2</v>
      </c>
      <c r="AA53" s="150">
        <v>0.2</v>
      </c>
      <c r="AB53" s="151">
        <v>0.75</v>
      </c>
    </row>
    <row r="54" spans="2:28" ht="15" customHeight="1" thickBot="1">
      <c r="B54" s="520"/>
      <c r="C54" s="217" t="s">
        <v>331</v>
      </c>
      <c r="D54" s="208">
        <v>94</v>
      </c>
      <c r="E54" s="208">
        <v>1</v>
      </c>
      <c r="F54" s="208">
        <v>103</v>
      </c>
      <c r="G54" s="208">
        <v>1</v>
      </c>
      <c r="H54" s="205">
        <v>4</v>
      </c>
      <c r="I54" s="206">
        <v>-0.4</v>
      </c>
      <c r="J54" s="207">
        <v>0</v>
      </c>
      <c r="K54" s="211"/>
      <c r="L54" s="207">
        <v>45</v>
      </c>
      <c r="M54" s="96">
        <v>0.48</v>
      </c>
      <c r="N54" s="96">
        <v>0</v>
      </c>
      <c r="O54" s="96"/>
      <c r="P54" s="95">
        <v>15</v>
      </c>
      <c r="Q54" s="96">
        <v>0.48</v>
      </c>
      <c r="R54" s="95">
        <v>15</v>
      </c>
      <c r="S54" s="102" t="s">
        <v>187</v>
      </c>
      <c r="T54" s="95">
        <v>0</v>
      </c>
      <c r="U54" s="95">
        <v>0</v>
      </c>
      <c r="V54" s="95">
        <v>70</v>
      </c>
      <c r="W54" s="95">
        <v>30</v>
      </c>
      <c r="X54" s="209" t="s">
        <v>186</v>
      </c>
      <c r="Y54" s="97">
        <v>70</v>
      </c>
      <c r="Z54" s="150">
        <v>0.2</v>
      </c>
      <c r="AA54" s="150">
        <v>0.2</v>
      </c>
      <c r="AB54" s="151">
        <v>0.75</v>
      </c>
    </row>
    <row r="55" spans="2:28" ht="15" customHeight="1" thickBot="1">
      <c r="B55" s="521"/>
      <c r="C55" s="217" t="s">
        <v>332</v>
      </c>
      <c r="D55" s="208">
        <v>94</v>
      </c>
      <c r="E55" s="208">
        <v>1</v>
      </c>
      <c r="F55" s="208">
        <v>103</v>
      </c>
      <c r="G55" s="208">
        <v>1</v>
      </c>
      <c r="H55" s="205">
        <v>4</v>
      </c>
      <c r="I55" s="206">
        <v>-0.4</v>
      </c>
      <c r="J55" s="207">
        <v>0</v>
      </c>
      <c r="K55" s="211"/>
      <c r="L55" s="207">
        <v>45</v>
      </c>
      <c r="M55" s="96">
        <v>0.48</v>
      </c>
      <c r="N55" s="96">
        <v>0</v>
      </c>
      <c r="O55" s="96"/>
      <c r="P55" s="95">
        <v>15</v>
      </c>
      <c r="Q55" s="96">
        <v>0.48</v>
      </c>
      <c r="R55" s="95">
        <v>15</v>
      </c>
      <c r="S55" s="102" t="s">
        <v>187</v>
      </c>
      <c r="T55" s="95">
        <v>0</v>
      </c>
      <c r="U55" s="95">
        <v>0</v>
      </c>
      <c r="V55" s="95">
        <v>70</v>
      </c>
      <c r="W55" s="95">
        <v>30</v>
      </c>
      <c r="X55" s="209" t="s">
        <v>186</v>
      </c>
      <c r="Y55" s="97">
        <v>70</v>
      </c>
      <c r="Z55" s="150">
        <v>0.04</v>
      </c>
      <c r="AA55" s="150">
        <v>0.1</v>
      </c>
      <c r="AB55" s="151">
        <v>0.75</v>
      </c>
    </row>
    <row r="56" spans="3:21" ht="15" customHeight="1" thickBot="1">
      <c r="C56" s="548" t="s">
        <v>147</v>
      </c>
      <c r="D56" s="549"/>
      <c r="E56" s="549"/>
      <c r="F56" s="549"/>
      <c r="G56" s="549"/>
      <c r="I56" s="76"/>
      <c r="J56" s="76"/>
      <c r="K56" s="76"/>
      <c r="R56" s="88"/>
      <c r="S56" s="103"/>
      <c r="T56" s="88"/>
      <c r="U56" s="88"/>
    </row>
    <row r="57" spans="3:21" ht="15" customHeight="1" thickBot="1">
      <c r="C57" s="550" t="s">
        <v>148</v>
      </c>
      <c r="D57" s="551"/>
      <c r="E57" s="551"/>
      <c r="F57" s="551"/>
      <c r="G57" s="551"/>
      <c r="I57" s="77"/>
      <c r="J57" s="77"/>
      <c r="K57" s="77"/>
      <c r="R57" s="88"/>
      <c r="S57" s="103"/>
      <c r="T57" s="88"/>
      <c r="U57" s="88"/>
    </row>
    <row r="58" spans="3:21" ht="15" customHeight="1">
      <c r="C58" s="543" t="s">
        <v>162</v>
      </c>
      <c r="D58" s="454"/>
      <c r="E58" s="454"/>
      <c r="F58" s="454"/>
      <c r="G58" s="454"/>
      <c r="H58" s="81"/>
      <c r="I58" s="77"/>
      <c r="J58" s="77"/>
      <c r="K58" s="77"/>
      <c r="R58" s="88"/>
      <c r="S58" s="103"/>
      <c r="T58" s="88"/>
      <c r="U58" s="88"/>
    </row>
    <row r="59" spans="3:21" ht="15" customHeight="1">
      <c r="C59" s="543" t="s">
        <v>163</v>
      </c>
      <c r="D59" s="454"/>
      <c r="E59" s="454"/>
      <c r="F59" s="454"/>
      <c r="G59" s="454"/>
      <c r="H59" s="81"/>
      <c r="I59" s="77"/>
      <c r="J59" s="77"/>
      <c r="K59" s="77"/>
      <c r="R59" s="88"/>
      <c r="S59" s="103"/>
      <c r="T59" s="88"/>
      <c r="U59" s="88"/>
    </row>
    <row r="60" spans="3:21" ht="15" customHeight="1">
      <c r="C60" s="499" t="s">
        <v>171</v>
      </c>
      <c r="D60" s="454"/>
      <c r="E60" s="454"/>
      <c r="F60" s="454"/>
      <c r="G60" s="454"/>
      <c r="H60" s="42"/>
      <c r="I60" s="42"/>
      <c r="J60" s="77"/>
      <c r="K60" s="77"/>
      <c r="R60" s="88"/>
      <c r="S60" s="103"/>
      <c r="T60" s="88"/>
      <c r="U60" s="88"/>
    </row>
    <row r="61" spans="3:21" ht="15" customHeight="1">
      <c r="C61" s="499" t="s">
        <v>172</v>
      </c>
      <c r="D61" s="454"/>
      <c r="E61" s="454"/>
      <c r="F61" s="454"/>
      <c r="G61" s="454"/>
      <c r="H61" s="42"/>
      <c r="I61" s="42"/>
      <c r="J61" s="77"/>
      <c r="K61" s="77"/>
      <c r="R61" s="88"/>
      <c r="S61" s="103"/>
      <c r="T61" s="88"/>
      <c r="U61" s="88"/>
    </row>
    <row r="62" spans="18:21" ht="13.5">
      <c r="R62" s="88"/>
      <c r="S62" s="103"/>
      <c r="T62" s="88"/>
      <c r="U62" s="88"/>
    </row>
    <row r="63" spans="3:21" ht="13.5">
      <c r="C63" s="67" t="s">
        <v>149</v>
      </c>
      <c r="R63" s="88"/>
      <c r="S63" s="103"/>
      <c r="T63" s="88"/>
      <c r="U63" s="88"/>
    </row>
    <row r="64" spans="3:21" ht="14.25" thickBot="1">
      <c r="C64" s="67" t="s">
        <v>150</v>
      </c>
      <c r="R64" s="88"/>
      <c r="S64" s="103"/>
      <c r="T64" s="75"/>
      <c r="U64" s="75"/>
    </row>
    <row r="65" spans="3:21" ht="16.5" thickBot="1" thickTop="1">
      <c r="C65" s="529" t="s">
        <v>134</v>
      </c>
      <c r="D65" s="531" t="s">
        <v>151</v>
      </c>
      <c r="E65" s="224" t="s">
        <v>152</v>
      </c>
      <c r="F65" s="224" t="s">
        <v>153</v>
      </c>
      <c r="G65" s="224" t="s">
        <v>154</v>
      </c>
      <c r="H65" s="68" t="s">
        <v>155</v>
      </c>
      <c r="I65" s="78"/>
      <c r="J65" s="78"/>
      <c r="K65" s="78"/>
      <c r="R65" s="88"/>
      <c r="S65" s="103"/>
      <c r="T65" s="88"/>
      <c r="U65" s="88"/>
    </row>
    <row r="66" spans="3:21" ht="14.25" thickBot="1">
      <c r="C66" s="530"/>
      <c r="D66" s="532"/>
      <c r="E66" s="225"/>
      <c r="F66" s="225"/>
      <c r="G66" s="225"/>
      <c r="H66" s="69" t="s">
        <v>12</v>
      </c>
      <c r="I66" s="79"/>
      <c r="J66" s="79"/>
      <c r="K66" s="79"/>
      <c r="R66" s="88"/>
      <c r="S66" s="103"/>
      <c r="T66" s="88"/>
      <c r="U66" s="88"/>
    </row>
    <row r="67" spans="3:21" ht="14.25" thickBot="1">
      <c r="C67" s="70" t="s">
        <v>156</v>
      </c>
      <c r="D67" s="71">
        <v>47</v>
      </c>
      <c r="E67" s="71">
        <v>6</v>
      </c>
      <c r="F67" s="71">
        <v>48</v>
      </c>
      <c r="G67" s="71">
        <v>6</v>
      </c>
      <c r="H67" s="71">
        <v>70</v>
      </c>
      <c r="I67" s="80"/>
      <c r="J67" s="80"/>
      <c r="K67" s="80"/>
      <c r="R67" s="88"/>
      <c r="S67" s="103"/>
      <c r="T67" s="88"/>
      <c r="U67" s="88"/>
    </row>
    <row r="68" spans="3:21" ht="27.75" customHeight="1" thickBot="1">
      <c r="C68" s="70" t="s">
        <v>157</v>
      </c>
      <c r="D68" s="71">
        <v>57</v>
      </c>
      <c r="E68" s="71">
        <v>6</v>
      </c>
      <c r="F68" s="71">
        <v>58</v>
      </c>
      <c r="G68" s="71">
        <v>6</v>
      </c>
      <c r="H68" s="71">
        <v>70</v>
      </c>
      <c r="I68" s="80"/>
      <c r="J68" s="80"/>
      <c r="K68" s="80"/>
      <c r="R68" s="88"/>
      <c r="S68" s="103"/>
      <c r="T68" s="89"/>
      <c r="U68" s="89"/>
    </row>
    <row r="69" spans="3:21" ht="15.75" thickBot="1">
      <c r="C69" s="72" t="s">
        <v>158</v>
      </c>
      <c r="D69" s="73">
        <v>67</v>
      </c>
      <c r="E69" s="73">
        <v>6</v>
      </c>
      <c r="F69" s="73">
        <v>68</v>
      </c>
      <c r="G69" s="73">
        <v>6</v>
      </c>
      <c r="H69" s="73">
        <v>70</v>
      </c>
      <c r="I69" s="80"/>
      <c r="J69" s="80"/>
      <c r="K69" s="80"/>
      <c r="R69" s="88"/>
      <c r="S69" s="103"/>
      <c r="T69" s="89"/>
      <c r="U69" s="89"/>
    </row>
    <row r="70" ht="15.75" thickTop="1"/>
    <row r="72" ht="15.75" thickBot="1">
      <c r="C72" s="10" t="s">
        <v>192</v>
      </c>
    </row>
    <row r="73" spans="3:5" ht="48.75">
      <c r="C73" s="544" t="s">
        <v>193</v>
      </c>
      <c r="D73" s="104" t="s">
        <v>194</v>
      </c>
      <c r="E73" s="104" t="s">
        <v>195</v>
      </c>
    </row>
    <row r="74" spans="3:5" ht="15.75" thickBot="1">
      <c r="C74" s="545"/>
      <c r="D74" s="25" t="s">
        <v>11</v>
      </c>
      <c r="E74" s="25" t="s">
        <v>12</v>
      </c>
    </row>
    <row r="75" spans="3:5" ht="15.75" thickBot="1">
      <c r="C75" s="105" t="s">
        <v>196</v>
      </c>
      <c r="D75" s="27">
        <v>1</v>
      </c>
      <c r="E75" s="232">
        <v>4</v>
      </c>
    </row>
    <row r="76" spans="3:5" ht="15.75" thickBot="1">
      <c r="C76" s="105" t="s">
        <v>197</v>
      </c>
      <c r="D76" s="27">
        <v>0.3</v>
      </c>
      <c r="E76" s="27">
        <v>13</v>
      </c>
    </row>
    <row r="77" spans="3:5" ht="15.75" thickBot="1">
      <c r="C77" s="105" t="s">
        <v>198</v>
      </c>
      <c r="D77" s="27">
        <v>0.2</v>
      </c>
      <c r="E77" s="27">
        <v>5</v>
      </c>
    </row>
    <row r="78" spans="3:5" ht="15.75" thickBot="1">
      <c r="C78" s="105" t="s">
        <v>199</v>
      </c>
      <c r="D78" s="27">
        <v>0</v>
      </c>
      <c r="E78" s="27">
        <v>20</v>
      </c>
    </row>
  </sheetData>
  <sheetProtection/>
  <mergeCells count="44">
    <mergeCell ref="W3:X3"/>
    <mergeCell ref="W17:X17"/>
    <mergeCell ref="C59:G59"/>
    <mergeCell ref="C73:C74"/>
    <mergeCell ref="C58:G58"/>
    <mergeCell ref="K3:K4"/>
    <mergeCell ref="O3:O4"/>
    <mergeCell ref="C56:G56"/>
    <mergeCell ref="C57:G57"/>
    <mergeCell ref="N16:Q16"/>
    <mergeCell ref="R2:U2"/>
    <mergeCell ref="C65:C66"/>
    <mergeCell ref="D65:D66"/>
    <mergeCell ref="S3:S4"/>
    <mergeCell ref="N2:Q2"/>
    <mergeCell ref="C2:E2"/>
    <mergeCell ref="J2:M2"/>
    <mergeCell ref="C8:C9"/>
    <mergeCell ref="U17:U18"/>
    <mergeCell ref="J16:M16"/>
    <mergeCell ref="B51:B55"/>
    <mergeCell ref="B38:B50"/>
    <mergeCell ref="B19:B37"/>
    <mergeCell ref="M17:M18"/>
    <mergeCell ref="Q17:Q18"/>
    <mergeCell ref="C17:C18"/>
    <mergeCell ref="D17:D18"/>
    <mergeCell ref="E17:E18"/>
    <mergeCell ref="F17:F18"/>
    <mergeCell ref="G17:G18"/>
    <mergeCell ref="R16:U16"/>
    <mergeCell ref="M3:M4"/>
    <mergeCell ref="Q3:Q4"/>
    <mergeCell ref="U3:U4"/>
    <mergeCell ref="R17:S17"/>
    <mergeCell ref="C60:G60"/>
    <mergeCell ref="C61:G61"/>
    <mergeCell ref="H15:I16"/>
    <mergeCell ref="D15:G16"/>
    <mergeCell ref="D3:D4"/>
    <mergeCell ref="E3:E4"/>
    <mergeCell ref="F3:F4"/>
    <mergeCell ref="G3:G4"/>
    <mergeCell ref="C3:C4"/>
  </mergeCells>
  <dataValidations count="2">
    <dataValidation type="list" allowBlank="1" showInputMessage="1" showErrorMessage="1" sqref="C5">
      <formula1>boiler</formula1>
    </dataValidation>
    <dataValidation type="list" allowBlank="1" showInputMessage="1" showErrorMessage="1" sqref="C10">
      <formula1>location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Viessmann Werke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Schilling</dc:creator>
  <cp:keywords/>
  <dc:description/>
  <cp:lastModifiedBy>ZIRNGIBL</cp:lastModifiedBy>
  <cp:lastPrinted>2010-01-21T10:35:53Z</cp:lastPrinted>
  <dcterms:created xsi:type="dcterms:W3CDTF">2010-01-05T07:56:28Z</dcterms:created>
  <dcterms:modified xsi:type="dcterms:W3CDTF">2015-03-08T19:48:09Z</dcterms:modified>
  <cp:category/>
  <cp:version/>
  <cp:contentType/>
  <cp:contentStatus/>
</cp:coreProperties>
</file>