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4380" windowHeight="9360" firstSheet="1" activeTab="1"/>
  </bookViews>
  <sheets>
    <sheet name="Tabelle1" sheetId="1" state="hidden" r:id="rId1"/>
    <sheet name="INFO" sheetId="4" r:id="rId2"/>
    <sheet name="Calculation, Results" sheetId="2" r:id="rId3"/>
    <sheet name="Input data" sheetId="3" r:id="rId4"/>
    <sheet name="Feuil2" sheetId="5" r:id="rId5"/>
    <sheet name="Feuil3" sheetId="6" r:id="rId6"/>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5" i="2" l="1"/>
  <c r="F44" i="2"/>
  <c r="F43" i="2"/>
  <c r="F42"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E45" i="2"/>
  <c r="E44" i="2"/>
  <c r="E43" i="2"/>
  <c r="E42"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6" i="2"/>
  <c r="I34" i="2"/>
  <c r="I33" i="2"/>
  <c r="I27" i="2"/>
  <c r="I21" i="2"/>
  <c r="I18" i="2"/>
  <c r="I13" i="2"/>
  <c r="I36" i="2"/>
  <c r="I32" i="2"/>
  <c r="I28" i="2"/>
  <c r="I19" i="2"/>
  <c r="I11" i="2"/>
  <c r="I10" i="2"/>
  <c r="I31" i="2"/>
  <c r="I25" i="2"/>
  <c r="I16" i="2"/>
  <c r="I9" i="2"/>
  <c r="I35" i="2"/>
  <c r="I26" i="2"/>
  <c r="I24" i="2"/>
  <c r="I20" i="2"/>
  <c r="I17" i="2"/>
  <c r="I12" i="2"/>
  <c r="I8" i="2"/>
  <c r="I30" i="2"/>
  <c r="I23" i="2"/>
  <c r="I15" i="2"/>
  <c r="I7" i="2"/>
  <c r="I29" i="2"/>
  <c r="I22" i="2"/>
  <c r="I14" i="2"/>
  <c r="I6" i="2"/>
  <c r="C30" i="2" l="1"/>
  <c r="C31" i="2" s="1"/>
  <c r="C32" i="2" s="1"/>
  <c r="C33" i="2" s="1"/>
  <c r="C34" i="2" s="1"/>
  <c r="C35" i="2" s="1"/>
  <c r="C36" i="2" s="1"/>
  <c r="C23" i="2"/>
  <c r="C24" i="2" s="1"/>
  <c r="C25" i="2" s="1"/>
  <c r="C26" i="2" s="1"/>
  <c r="C27" i="2" s="1"/>
  <c r="C28" i="2" s="1"/>
  <c r="B23" i="2"/>
  <c r="B24" i="2" s="1"/>
  <c r="B25" i="2" s="1"/>
  <c r="B26" i="2" s="1"/>
  <c r="B27" i="2" s="1"/>
  <c r="B28" i="2" s="1"/>
  <c r="B29" i="2" s="1"/>
  <c r="B30" i="2" s="1"/>
  <c r="B31" i="2" s="1"/>
  <c r="B32" i="2" s="1"/>
  <c r="B33" i="2" s="1"/>
  <c r="B34" i="2" s="1"/>
  <c r="B35" i="2" s="1"/>
  <c r="B36" i="2" s="1"/>
  <c r="B7" i="2"/>
  <c r="B8" i="2" s="1"/>
  <c r="B9" i="2" s="1"/>
  <c r="B10" i="2" s="1"/>
  <c r="B11" i="2" s="1"/>
  <c r="B12" i="2" s="1"/>
  <c r="B13" i="2" s="1"/>
  <c r="B14" i="2" s="1"/>
  <c r="B15" i="2" s="1"/>
  <c r="B16" i="2" s="1"/>
  <c r="B17" i="2" s="1"/>
  <c r="B18" i="2" s="1"/>
  <c r="B19" i="2" s="1"/>
  <c r="B20" i="2" s="1"/>
  <c r="B21" i="2" s="1"/>
  <c r="C15" i="2"/>
  <c r="C16" i="2" s="1"/>
  <c r="C17" i="2" s="1"/>
  <c r="C18" i="2" s="1"/>
  <c r="C19" i="2" s="1"/>
  <c r="C20" i="2" s="1"/>
  <c r="C21" i="2" s="1"/>
  <c r="C7" i="2"/>
  <c r="C8" i="2" s="1"/>
  <c r="C9" i="2" s="1"/>
  <c r="C10" i="2" s="1"/>
  <c r="C11" i="2" s="1"/>
  <c r="C12" i="2" s="1"/>
  <c r="C13" i="2" s="1"/>
  <c r="G45" i="2"/>
  <c r="H45" i="2" s="1"/>
  <c r="G44" i="2"/>
  <c r="H44" i="2" s="1"/>
  <c r="G43" i="2"/>
  <c r="H43" i="2" s="1"/>
  <c r="G42" i="2"/>
  <c r="H42" i="2" s="1"/>
  <c r="I42" i="2" s="1"/>
  <c r="K35" i="2"/>
  <c r="K27" i="2"/>
  <c r="K26" i="2"/>
  <c r="K24" i="2"/>
  <c r="K21" i="2"/>
  <c r="K20" i="2"/>
  <c r="K18" i="2"/>
  <c r="K17" i="2"/>
  <c r="K13" i="2"/>
  <c r="K12" i="2"/>
  <c r="K29" i="2"/>
  <c r="K22" i="2"/>
  <c r="K14" i="2"/>
  <c r="I43" i="2" l="1"/>
  <c r="J42" i="2" s="1"/>
  <c r="Q14" i="2"/>
  <c r="Q13" i="2"/>
  <c r="Q21" i="2"/>
  <c r="Q22" i="2"/>
  <c r="Q18" i="2"/>
  <c r="Q12" i="2"/>
  <c r="Q20" i="2"/>
  <c r="Q17" i="2"/>
  <c r="L22" i="2"/>
  <c r="L14" i="2"/>
  <c r="L6" i="2"/>
  <c r="K31" i="2"/>
  <c r="K16" i="2"/>
  <c r="Q16" i="2" s="1"/>
  <c r="K9" i="2"/>
  <c r="Q9" i="2" s="1"/>
  <c r="K8" i="2"/>
  <c r="Q8" i="2" s="1"/>
  <c r="K6" i="2"/>
  <c r="Q6" i="2" s="1"/>
  <c r="H6" i="2"/>
  <c r="H7" i="2"/>
  <c r="H8" i="2"/>
  <c r="R8" i="2" s="1"/>
  <c r="H9" i="2"/>
  <c r="H10" i="2"/>
  <c r="H11" i="2"/>
  <c r="U11" i="2" s="1"/>
  <c r="H13" i="2"/>
  <c r="H14" i="2"/>
  <c r="H15" i="2"/>
  <c r="H16" i="2"/>
  <c r="H18" i="2"/>
  <c r="H19" i="2"/>
  <c r="H21" i="2"/>
  <c r="H22" i="2"/>
  <c r="H23" i="2"/>
  <c r="H24" i="2"/>
  <c r="H25" i="2"/>
  <c r="H27" i="2"/>
  <c r="H28" i="2"/>
  <c r="U28" i="2" s="1"/>
  <c r="H29" i="2"/>
  <c r="H30" i="2"/>
  <c r="H31" i="2"/>
  <c r="H33" i="2"/>
  <c r="H34" i="2"/>
  <c r="H35" i="2"/>
  <c r="H36" i="2"/>
  <c r="J45" i="1"/>
  <c r="G45" i="1"/>
  <c r="H45" i="1"/>
  <c r="I45" i="1"/>
  <c r="F45" i="1"/>
  <c r="Z13" i="2" l="1"/>
  <c r="AA13" i="2" s="1"/>
  <c r="Z21" i="2"/>
  <c r="AA21" i="2" s="1"/>
  <c r="Z16" i="2"/>
  <c r="AA16" i="2" s="1"/>
  <c r="Z18" i="2"/>
  <c r="AA18" i="2" s="1"/>
  <c r="I44" i="2"/>
  <c r="R15" i="2"/>
  <c r="Z15" i="2"/>
  <c r="AA15" i="2" s="1"/>
  <c r="R10" i="2"/>
  <c r="Z10" i="2"/>
  <c r="AA10" i="2" s="1"/>
  <c r="R34" i="2"/>
  <c r="Z34" i="2"/>
  <c r="AA34" i="2" s="1"/>
  <c r="Z8" i="2"/>
  <c r="AA8" i="2" s="1"/>
  <c r="R19" i="2"/>
  <c r="Z19" i="2"/>
  <c r="AA19" i="2" s="1"/>
  <c r="R33" i="2"/>
  <c r="Z33" i="2"/>
  <c r="AA33" i="2" s="1"/>
  <c r="W28" i="2"/>
  <c r="X22" i="2" s="1"/>
  <c r="V22" i="2"/>
  <c r="R23" i="2"/>
  <c r="Z23" i="2"/>
  <c r="AA23" i="2" s="1"/>
  <c r="R36" i="2"/>
  <c r="Z36" i="2"/>
  <c r="AA36" i="2" s="1"/>
  <c r="R7" i="2"/>
  <c r="Z7" i="2"/>
  <c r="AA7" i="2" s="1"/>
  <c r="Z9" i="2"/>
  <c r="AA9" i="2" s="1"/>
  <c r="R30" i="2"/>
  <c r="Z30" i="2"/>
  <c r="AA30" i="2" s="1"/>
  <c r="W11" i="2"/>
  <c r="X6" i="2" s="1"/>
  <c r="V6" i="2"/>
  <c r="N29" i="2"/>
  <c r="P29" i="2" s="1"/>
  <c r="H17" i="2"/>
  <c r="R18" i="2"/>
  <c r="H12" i="2"/>
  <c r="R13" i="2"/>
  <c r="H26" i="2"/>
  <c r="N22" i="2"/>
  <c r="P22" i="2" s="1"/>
  <c r="Z22" i="2" s="1"/>
  <c r="AA22" i="2" s="1"/>
  <c r="H20" i="2"/>
  <c r="R21" i="2"/>
  <c r="N6" i="2"/>
  <c r="P6" i="2" s="1"/>
  <c r="R6" i="2" s="1"/>
  <c r="N14" i="2"/>
  <c r="P14" i="2" s="1"/>
  <c r="R14" i="2" s="1"/>
  <c r="H32" i="2"/>
  <c r="J48" i="1"/>
  <c r="I48" i="1"/>
  <c r="H48" i="1"/>
  <c r="G48" i="1"/>
  <c r="F48" i="1"/>
  <c r="J47" i="1"/>
  <c r="I47" i="1"/>
  <c r="H47" i="1"/>
  <c r="G47" i="1"/>
  <c r="F47" i="1"/>
  <c r="J46" i="1"/>
  <c r="I46" i="1"/>
  <c r="H46" i="1"/>
  <c r="G46" i="1"/>
  <c r="F46" i="1"/>
  <c r="Q24" i="2" l="1"/>
  <c r="R22" i="2"/>
  <c r="Z14" i="2"/>
  <c r="AA14" i="2" s="1"/>
  <c r="Z6" i="2"/>
  <c r="AA6" i="2" s="1"/>
  <c r="R32" i="2"/>
  <c r="Z32" i="2"/>
  <c r="AA32" i="2" s="1"/>
  <c r="R12" i="2"/>
  <c r="Z12" i="2"/>
  <c r="AA12" i="2" s="1"/>
  <c r="R17" i="2"/>
  <c r="Z17" i="2"/>
  <c r="AA17" i="2" s="1"/>
  <c r="R20" i="2"/>
  <c r="Z20" i="2"/>
  <c r="AA20" i="2" s="1"/>
  <c r="AB14" i="2" l="1"/>
  <c r="O43" i="2" s="1"/>
  <c r="Q26" i="2"/>
  <c r="Z24" i="2"/>
  <c r="AA24" i="2" s="1"/>
  <c r="R24" i="2"/>
  <c r="S6" i="2"/>
  <c r="T6" i="2" s="1"/>
  <c r="Y6" i="2" s="1"/>
  <c r="K28" i="2" s="1"/>
  <c r="Q27" i="2" l="1"/>
  <c r="R26" i="2"/>
  <c r="Z26" i="2"/>
  <c r="AA26" i="2" s="1"/>
  <c r="R27" i="2" l="1"/>
  <c r="Z27" i="2"/>
  <c r="AA27" i="2" s="1"/>
  <c r="I45" i="2"/>
  <c r="J44" i="2" s="1"/>
  <c r="K42" i="2" s="1"/>
  <c r="K25" i="2"/>
  <c r="Q25" i="2" s="1"/>
  <c r="Z25" i="2" s="1"/>
  <c r="AA25" i="2" s="1"/>
  <c r="Q29" i="2"/>
  <c r="Q28" i="2"/>
  <c r="Z28" i="2" s="1"/>
  <c r="AA28" i="2" s="1"/>
  <c r="AB22" i="2" l="1"/>
  <c r="O44" i="2" s="1"/>
  <c r="Q31" i="2"/>
  <c r="Z31" i="2" s="1"/>
  <c r="AA31" i="2" s="1"/>
  <c r="Z29" i="2"/>
  <c r="AA29" i="2" s="1"/>
  <c r="R29" i="2"/>
  <c r="Q35" i="2" l="1"/>
  <c r="R35" i="2" l="1"/>
  <c r="S22" i="2" s="1"/>
  <c r="T22" i="2" s="1"/>
  <c r="Y22" i="2" s="1"/>
  <c r="K11" i="2" s="1"/>
  <c r="Q11" i="2" s="1"/>
  <c r="Z11" i="2" s="1"/>
  <c r="AA11" i="2" s="1"/>
  <c r="Z35" i="2"/>
  <c r="AA35" i="2" s="1"/>
  <c r="AB6" i="2" l="1"/>
  <c r="O42" i="2" s="1"/>
  <c r="AC6" i="2"/>
  <c r="P42" i="2" s="1"/>
  <c r="AC22" i="2"/>
  <c r="P44" i="2" s="1"/>
  <c r="AD6" i="2"/>
  <c r="Q42" i="2" s="1"/>
  <c r="AB29" i="2"/>
  <c r="O45" i="2" s="1"/>
</calcChain>
</file>

<file path=xl/comments1.xml><?xml version="1.0" encoding="utf-8"?>
<comments xmlns="http://schemas.openxmlformats.org/spreadsheetml/2006/main">
  <authors>
    <author>Jens Rosenkranz</author>
  </authors>
  <commentList>
    <comment ref="J3" authorId="0">
      <text>
        <r>
          <rPr>
            <b/>
            <sz val="8"/>
            <color indexed="81"/>
            <rFont val="Segoe UI"/>
            <family val="2"/>
          </rPr>
          <t>Jens Rosenkranz:</t>
        </r>
        <r>
          <rPr>
            <sz val="8"/>
            <color indexed="81"/>
            <rFont val="Segoe UI"/>
            <family val="2"/>
          </rPr>
          <t xml:space="preserve">
Default value from national or informative annex</t>
        </r>
      </text>
    </comment>
    <comment ref="O6" authorId="0">
      <text>
        <r>
          <rPr>
            <b/>
            <sz val="8"/>
            <color indexed="81"/>
            <rFont val="Segoe UI"/>
            <family val="2"/>
          </rPr>
          <t>Jens Rosenkranz:</t>
        </r>
        <r>
          <rPr>
            <sz val="8"/>
            <color indexed="81"/>
            <rFont val="Segoe UI"/>
            <family val="2"/>
          </rPr>
          <t xml:space="preserve">
Default value from national or informative annex</t>
        </r>
      </text>
    </comment>
    <comment ref="P6" authorId="0">
      <text>
        <r>
          <rPr>
            <b/>
            <sz val="8"/>
            <color indexed="81"/>
            <rFont val="Segoe UI"/>
            <family val="2"/>
          </rPr>
          <t>Jens Rosenkranz:</t>
        </r>
        <r>
          <rPr>
            <sz val="8"/>
            <color indexed="81"/>
            <rFont val="Segoe UI"/>
            <family val="2"/>
          </rPr>
          <t xml:space="preserve">
U_equiv,k = a/(b + (c1 + B')^n1 + (c2 + z)^n2 + U_k^n3)</t>
        </r>
      </text>
    </comment>
    <comment ref="Q6" authorId="0">
      <text>
        <r>
          <rPr>
            <b/>
            <sz val="8"/>
            <color indexed="81"/>
            <rFont val="Segoe UI"/>
            <family val="2"/>
          </rPr>
          <t>Jens Rosenkranz:</t>
        </r>
        <r>
          <rPr>
            <sz val="8"/>
            <color indexed="81"/>
            <rFont val="Segoe UI"/>
            <family val="2"/>
          </rPr>
          <t xml:space="preserve">
Calculated with general formula for temperature adjustment factor:
f_ix = (θ*_int,i - θ_x)/(θ_int,i - θ_e)</t>
        </r>
      </text>
    </comment>
    <comment ref="Q7" authorId="0">
      <text>
        <r>
          <rPr>
            <b/>
            <sz val="8"/>
            <color indexed="81"/>
            <rFont val="Segoe UI"/>
            <family val="2"/>
          </rPr>
          <t>Jens Rosenkranz:</t>
        </r>
        <r>
          <rPr>
            <sz val="8"/>
            <color indexed="81"/>
            <rFont val="Segoe UI"/>
            <family val="2"/>
          </rPr>
          <t xml:space="preserve">
Default value from national or informative annex</t>
        </r>
      </text>
    </comment>
    <comment ref="Q8" authorId="0">
      <text>
        <r>
          <rPr>
            <b/>
            <sz val="8"/>
            <color indexed="81"/>
            <rFont val="Segoe UI"/>
            <family val="2"/>
          </rPr>
          <t>Jens Rosenkranz:</t>
        </r>
        <r>
          <rPr>
            <sz val="8"/>
            <color indexed="81"/>
            <rFont val="Segoe UI"/>
            <family val="2"/>
          </rPr>
          <t xml:space="preserve">
no adjustment required, but general formula for temperature adjustment factor can still be applied:
f_ix = (θ*_int,i - θ_x)/(θ_int,i - θ_e)</t>
        </r>
      </text>
    </comment>
    <comment ref="Q9" authorId="0">
      <text>
        <r>
          <rPr>
            <b/>
            <sz val="8"/>
            <color indexed="81"/>
            <rFont val="Segoe UI"/>
            <family val="2"/>
          </rPr>
          <t>Jens Rosenkranz:</t>
        </r>
        <r>
          <rPr>
            <sz val="8"/>
            <color indexed="81"/>
            <rFont val="Segoe UI"/>
            <family val="2"/>
          </rPr>
          <t xml:space="preserve">
Calculated with general formula for temperature adjustment factor:
f_ix = (θ*_int,i - θ_x)/(θ_int,i - θ_e)</t>
        </r>
      </text>
    </comment>
    <comment ref="Q10" authorId="0">
      <text>
        <r>
          <rPr>
            <b/>
            <sz val="8"/>
            <color indexed="81"/>
            <rFont val="Segoe UI"/>
            <family val="2"/>
          </rPr>
          <t>Jens Rosenkranz:</t>
        </r>
        <r>
          <rPr>
            <sz val="8"/>
            <color indexed="81"/>
            <rFont val="Segoe UI"/>
            <family val="2"/>
          </rPr>
          <t xml:space="preserve">
Default value from national or informative annex</t>
        </r>
      </text>
    </comment>
    <comment ref="Q11" authorId="0">
      <text>
        <r>
          <rPr>
            <b/>
            <sz val="8"/>
            <color indexed="81"/>
            <rFont val="Segoe UI"/>
            <family val="2"/>
          </rPr>
          <t>Jens Rosenkranz:</t>
        </r>
        <r>
          <rPr>
            <sz val="8"/>
            <color indexed="81"/>
            <rFont val="Segoe UI"/>
            <family val="2"/>
          </rPr>
          <t xml:space="preserve">
Calculated with general formula for temperature adjustment factor:
f_ix = (θ*_int,i - θ_x)/(θ_int,i - θ_e)</t>
        </r>
      </text>
    </comment>
    <comment ref="Q12" authorId="0">
      <text>
        <r>
          <rPr>
            <b/>
            <sz val="8"/>
            <color indexed="81"/>
            <rFont val="Segoe UI"/>
            <family val="2"/>
          </rPr>
          <t>Jens Rosenkranz:</t>
        </r>
        <r>
          <rPr>
            <sz val="8"/>
            <color indexed="81"/>
            <rFont val="Segoe UI"/>
            <family val="2"/>
          </rPr>
          <t xml:space="preserve">
no adjustment required, but general formula for temperature adjustment factor can still be applied:
f_ix = (θ*_int,i - θ_x)/(θ_int,i - θ_e)</t>
        </r>
      </text>
    </comment>
    <comment ref="Q13" authorId="0">
      <text>
        <r>
          <rPr>
            <b/>
            <sz val="8"/>
            <color indexed="81"/>
            <rFont val="Segoe UI"/>
            <family val="2"/>
          </rPr>
          <t>Jens Rosenkranz:</t>
        </r>
        <r>
          <rPr>
            <sz val="8"/>
            <color indexed="81"/>
            <rFont val="Segoe UI"/>
            <family val="2"/>
          </rPr>
          <t xml:space="preserve">
no adjustment required, but general formula for temperature adjustment factor can still be applied:
f_ix = (θ*_int,i - θ_x)/(θ_int,i - θ_e)</t>
        </r>
      </text>
    </comment>
    <comment ref="O14" authorId="0">
      <text>
        <r>
          <rPr>
            <b/>
            <sz val="8"/>
            <color indexed="81"/>
            <rFont val="Segoe UI"/>
            <family val="2"/>
          </rPr>
          <t>Jens Rosenkranz:</t>
        </r>
        <r>
          <rPr>
            <sz val="8"/>
            <color indexed="81"/>
            <rFont val="Segoe UI"/>
            <family val="2"/>
          </rPr>
          <t xml:space="preserve">
Default value from national or informative annex</t>
        </r>
      </text>
    </comment>
    <comment ref="P14" authorId="0">
      <text>
        <r>
          <rPr>
            <b/>
            <sz val="8"/>
            <color indexed="81"/>
            <rFont val="Segoe UI"/>
            <family val="2"/>
          </rPr>
          <t>Jens Rosenkranz:</t>
        </r>
        <r>
          <rPr>
            <sz val="8"/>
            <color indexed="81"/>
            <rFont val="Segoe UI"/>
            <family val="2"/>
          </rPr>
          <t xml:space="preserve">
U_equiv,k = a/(b + (c1 + B')^n1 + (c2 + z)^n2 + U_k^n3)</t>
        </r>
      </text>
    </comment>
    <comment ref="Q14" authorId="0">
      <text>
        <r>
          <rPr>
            <b/>
            <sz val="8"/>
            <color indexed="81"/>
            <rFont val="Segoe UI"/>
            <family val="2"/>
          </rPr>
          <t>Jens Rosenkranz:</t>
        </r>
        <r>
          <rPr>
            <sz val="8"/>
            <color indexed="81"/>
            <rFont val="Segoe UI"/>
            <family val="2"/>
          </rPr>
          <t xml:space="preserve">
Calculated with general formula for temperature adjustment factor:
f_ix = (θ*_int,i - θ_x)/(θ_int,i - θ_e)</t>
        </r>
      </text>
    </comment>
    <comment ref="Q15" authorId="0">
      <text>
        <r>
          <rPr>
            <b/>
            <sz val="8"/>
            <color indexed="81"/>
            <rFont val="Segoe UI"/>
            <family val="2"/>
          </rPr>
          <t>Jens Rosenkranz:</t>
        </r>
        <r>
          <rPr>
            <sz val="8"/>
            <color indexed="81"/>
            <rFont val="Segoe UI"/>
            <family val="2"/>
          </rPr>
          <t xml:space="preserve">
Default value from national or informative annex</t>
        </r>
      </text>
    </comment>
    <comment ref="Q16" authorId="0">
      <text>
        <r>
          <rPr>
            <b/>
            <sz val="8"/>
            <color indexed="81"/>
            <rFont val="Segoe UI"/>
            <family val="2"/>
          </rPr>
          <t>Jens Rosenkranz:</t>
        </r>
        <r>
          <rPr>
            <sz val="8"/>
            <color indexed="81"/>
            <rFont val="Segoe UI"/>
            <family val="2"/>
          </rPr>
          <t xml:space="preserve">
Calculated with general formula for temperature adjustment factor:
f_ix = (θ*_int,i - θ_x)/(θ_int,i - θ_e)</t>
        </r>
      </text>
    </comment>
    <comment ref="Q17" authorId="0">
      <text>
        <r>
          <rPr>
            <b/>
            <sz val="8"/>
            <color indexed="81"/>
            <rFont val="Segoe UI"/>
            <family val="2"/>
          </rPr>
          <t>Jens Rosenkranz:</t>
        </r>
        <r>
          <rPr>
            <sz val="8"/>
            <color indexed="81"/>
            <rFont val="Segoe UI"/>
            <family val="2"/>
          </rPr>
          <t xml:space="preserve">
no adjustment required, but general formula for temperature adjustment factor can still be applied:
f_ix = (θ*_int,i - θ_x)/(θ_int,i - θ_e)</t>
        </r>
      </text>
    </comment>
    <comment ref="Q18" authorId="0">
      <text>
        <r>
          <rPr>
            <b/>
            <sz val="8"/>
            <color indexed="81"/>
            <rFont val="Segoe UI"/>
            <family val="2"/>
          </rPr>
          <t>Jens Rosenkranz:</t>
        </r>
        <r>
          <rPr>
            <sz val="8"/>
            <color indexed="81"/>
            <rFont val="Segoe UI"/>
            <family val="2"/>
          </rPr>
          <t xml:space="preserve">
no adjustment required, but general formula for temperature adjustment factor can still be applied:
f_ix = (θ*_int,i - θ_x)/(θ_int,i - θ_e)</t>
        </r>
      </text>
    </comment>
    <comment ref="Q19" authorId="0">
      <text>
        <r>
          <rPr>
            <b/>
            <sz val="8"/>
            <color indexed="81"/>
            <rFont val="Segoe UI"/>
            <family val="2"/>
          </rPr>
          <t>Jens Rosenkranz:</t>
        </r>
        <r>
          <rPr>
            <sz val="8"/>
            <color indexed="81"/>
            <rFont val="Segoe UI"/>
            <family val="2"/>
          </rPr>
          <t xml:space="preserve">
Default value from national or informative annex</t>
        </r>
      </text>
    </comment>
    <comment ref="Q20" authorId="0">
      <text>
        <r>
          <rPr>
            <b/>
            <sz val="8"/>
            <color indexed="81"/>
            <rFont val="Segoe UI"/>
            <family val="2"/>
          </rPr>
          <t>Jens Rosenkranz:</t>
        </r>
        <r>
          <rPr>
            <sz val="8"/>
            <color indexed="81"/>
            <rFont val="Segoe UI"/>
            <family val="2"/>
          </rPr>
          <t xml:space="preserve">
no adjustment required, but general formula for temperature adjustment factor can still be applied:
f_ix = (θ*_int,i - θ_x)/(θ_int,i - θ_e)</t>
        </r>
      </text>
    </comment>
    <comment ref="Q21" authorId="0">
      <text>
        <r>
          <rPr>
            <b/>
            <sz val="8"/>
            <color indexed="81"/>
            <rFont val="Segoe UI"/>
            <family val="2"/>
          </rPr>
          <t>Jens Rosenkranz:</t>
        </r>
        <r>
          <rPr>
            <sz val="8"/>
            <color indexed="81"/>
            <rFont val="Segoe UI"/>
            <family val="2"/>
          </rPr>
          <t xml:space="preserve">
no adjustment required, but general formula for temperature adjustment factor can still be applied:
f_ix = (θ*_int,i - θ_x)/(θ_int,i - θ_e)</t>
        </r>
      </text>
    </comment>
    <comment ref="O22" authorId="0">
      <text>
        <r>
          <rPr>
            <b/>
            <sz val="8"/>
            <color indexed="81"/>
            <rFont val="Segoe UI"/>
            <family val="2"/>
          </rPr>
          <t>Jens Rosenkranz:</t>
        </r>
        <r>
          <rPr>
            <sz val="8"/>
            <color indexed="81"/>
            <rFont val="Segoe UI"/>
            <family val="2"/>
          </rPr>
          <t xml:space="preserve">
Default value from national or informative annex</t>
        </r>
      </text>
    </comment>
    <comment ref="P22" authorId="0">
      <text>
        <r>
          <rPr>
            <b/>
            <sz val="8"/>
            <color indexed="81"/>
            <rFont val="Segoe UI"/>
            <family val="2"/>
          </rPr>
          <t>Jens Rosenkranz:</t>
        </r>
        <r>
          <rPr>
            <sz val="8"/>
            <color indexed="81"/>
            <rFont val="Segoe UI"/>
            <family val="2"/>
          </rPr>
          <t xml:space="preserve">
U_equiv,k = a/(b + (c1 + B')^n1 + (c2 + z)^n2 + U_k^n3)</t>
        </r>
      </text>
    </comment>
    <comment ref="Q22" authorId="0">
      <text>
        <r>
          <rPr>
            <b/>
            <sz val="8"/>
            <color indexed="81"/>
            <rFont val="Segoe UI"/>
            <family val="2"/>
          </rPr>
          <t>Jens Rosenkranz:</t>
        </r>
        <r>
          <rPr>
            <sz val="8"/>
            <color indexed="81"/>
            <rFont val="Segoe UI"/>
            <family val="2"/>
          </rPr>
          <t xml:space="preserve">
Calculated with general formula for temperature adjustment factor:
f_ix = (θ*_int,i - θ_x)/(θ_int,i - θ_e)</t>
        </r>
      </text>
    </comment>
    <comment ref="Q23" authorId="0">
      <text>
        <r>
          <rPr>
            <b/>
            <sz val="8"/>
            <color indexed="81"/>
            <rFont val="Segoe UI"/>
            <family val="2"/>
          </rPr>
          <t>Jens Rosenkranz:</t>
        </r>
        <r>
          <rPr>
            <sz val="8"/>
            <color indexed="81"/>
            <rFont val="Segoe UI"/>
            <family val="2"/>
          </rPr>
          <t xml:space="preserve">
Default value from national or informative annex</t>
        </r>
      </text>
    </comment>
    <comment ref="Q24" authorId="0">
      <text>
        <r>
          <rPr>
            <b/>
            <sz val="8"/>
            <color indexed="81"/>
            <rFont val="Segoe UI"/>
            <family val="2"/>
          </rPr>
          <t>Jens Rosenkranz:</t>
        </r>
        <r>
          <rPr>
            <sz val="8"/>
            <color indexed="81"/>
            <rFont val="Segoe UI"/>
            <family val="2"/>
          </rPr>
          <t xml:space="preserve">
no adjustment required, but general formula for temperature adjustment factor can still be applied:
f_ix = (θ*_int,i - θ_x)/(θ_int,i - θ_e)</t>
        </r>
      </text>
    </comment>
    <comment ref="Q25" authorId="0">
      <text>
        <r>
          <rPr>
            <b/>
            <sz val="8"/>
            <color indexed="81"/>
            <rFont val="Segoe UI"/>
            <family val="2"/>
          </rPr>
          <t>Jens Rosenkranz:</t>
        </r>
        <r>
          <rPr>
            <sz val="8"/>
            <color indexed="81"/>
            <rFont val="Segoe UI"/>
            <family val="2"/>
          </rPr>
          <t xml:space="preserve">
Calculated with general formula for temperature adjustment factor:
f_ix = (θ*_int,i - θ_x)/(θ_int,i - θ_e)</t>
        </r>
      </text>
    </comment>
    <comment ref="Q26" authorId="0">
      <text>
        <r>
          <rPr>
            <b/>
            <sz val="8"/>
            <color indexed="81"/>
            <rFont val="Segoe UI"/>
            <family val="2"/>
          </rPr>
          <t>Jens Rosenkranz:</t>
        </r>
        <r>
          <rPr>
            <sz val="8"/>
            <color indexed="81"/>
            <rFont val="Segoe UI"/>
            <family val="2"/>
          </rPr>
          <t xml:space="preserve">
no adjustment required, but general formula for temperature adjustment factor can still be applied:
f_ix = (θ*_int,i - θ_x)/(θ_int,i - θ_e)</t>
        </r>
      </text>
    </comment>
    <comment ref="Q27" authorId="0">
      <text>
        <r>
          <rPr>
            <b/>
            <sz val="8"/>
            <color indexed="81"/>
            <rFont val="Segoe UI"/>
            <family val="2"/>
          </rPr>
          <t>Jens Rosenkranz:</t>
        </r>
        <r>
          <rPr>
            <sz val="8"/>
            <color indexed="81"/>
            <rFont val="Segoe UI"/>
            <family val="2"/>
          </rPr>
          <t xml:space="preserve">
no adjustment required, but general formula for temperature adjustment factor can still be applied:
f_ix = (θ*_int,i - θ_x)/(θ_int,i - θ_e)</t>
        </r>
      </text>
    </comment>
    <comment ref="Q28" authorId="0">
      <text>
        <r>
          <rPr>
            <b/>
            <sz val="8"/>
            <color indexed="81"/>
            <rFont val="Segoe UI"/>
            <family val="2"/>
          </rPr>
          <t>Jens Rosenkranz:</t>
        </r>
        <r>
          <rPr>
            <sz val="8"/>
            <color indexed="81"/>
            <rFont val="Segoe UI"/>
            <family val="2"/>
          </rPr>
          <t xml:space="preserve">
Calculated with general formula for temperature adjustment factor:
f_ix = (θ*_int,i - θ_x)/(θ_int,i - θ_e)</t>
        </r>
      </text>
    </comment>
    <comment ref="O29" authorId="0">
      <text>
        <r>
          <rPr>
            <b/>
            <sz val="8"/>
            <color indexed="81"/>
            <rFont val="Segoe UI"/>
            <family val="2"/>
          </rPr>
          <t>Jens Rosenkranz:</t>
        </r>
        <r>
          <rPr>
            <sz val="8"/>
            <color indexed="81"/>
            <rFont val="Segoe UI"/>
            <family val="2"/>
          </rPr>
          <t xml:space="preserve">
Default value from national or informative annex</t>
        </r>
      </text>
    </comment>
    <comment ref="P29" authorId="0">
      <text>
        <r>
          <rPr>
            <b/>
            <sz val="8"/>
            <color indexed="81"/>
            <rFont val="Segoe UI"/>
            <family val="2"/>
          </rPr>
          <t>Jens Rosenkranz:</t>
        </r>
        <r>
          <rPr>
            <sz val="8"/>
            <color indexed="81"/>
            <rFont val="Segoe UI"/>
            <family val="2"/>
          </rPr>
          <t xml:space="preserve">
U_equiv,k = a/(b + (c1 + B')^n1 + (c2 + z)^n2 + U_k^n3)</t>
        </r>
      </text>
    </comment>
    <comment ref="Q29" authorId="0">
      <text>
        <r>
          <rPr>
            <b/>
            <sz val="8"/>
            <color indexed="81"/>
            <rFont val="Segoe UI"/>
            <family val="2"/>
          </rPr>
          <t>Jens Rosenkranz:</t>
        </r>
        <r>
          <rPr>
            <sz val="8"/>
            <color indexed="81"/>
            <rFont val="Segoe UI"/>
            <family val="2"/>
          </rPr>
          <t xml:space="preserve">
Calculated with general formula for temperature adjustment factor:
f_ix = (θ*_int,i - θ_x)/(θ_int,i - θ_e)</t>
        </r>
      </text>
    </comment>
    <comment ref="Q30" authorId="0">
      <text>
        <r>
          <rPr>
            <b/>
            <sz val="8"/>
            <color indexed="81"/>
            <rFont val="Segoe UI"/>
            <family val="2"/>
          </rPr>
          <t>Jens Rosenkranz:</t>
        </r>
        <r>
          <rPr>
            <sz val="8"/>
            <color indexed="81"/>
            <rFont val="Segoe UI"/>
            <family val="2"/>
          </rPr>
          <t xml:space="preserve">
Default value from national or informative annex</t>
        </r>
      </text>
    </comment>
    <comment ref="Q31" authorId="0">
      <text>
        <r>
          <rPr>
            <b/>
            <sz val="8"/>
            <color indexed="81"/>
            <rFont val="Segoe UI"/>
            <family val="2"/>
          </rPr>
          <t>Jens Rosenkranz:</t>
        </r>
        <r>
          <rPr>
            <sz val="8"/>
            <color indexed="81"/>
            <rFont val="Segoe UI"/>
            <family val="2"/>
          </rPr>
          <t xml:space="preserve">
Calculated with general formula for temperature adjustment factor:
f_ix = (θ*_int,i - θ_x)/(θ_int,i - θ_e)</t>
        </r>
      </text>
    </comment>
    <comment ref="Q32" authorId="0">
      <text>
        <r>
          <rPr>
            <b/>
            <sz val="8"/>
            <color indexed="81"/>
            <rFont val="Segoe UI"/>
            <family val="2"/>
          </rPr>
          <t>Jens Rosenkranz:</t>
        </r>
        <r>
          <rPr>
            <sz val="8"/>
            <color indexed="81"/>
            <rFont val="Segoe UI"/>
            <family val="2"/>
          </rPr>
          <t xml:space="preserve">
Default value from national or informative annex</t>
        </r>
      </text>
    </comment>
    <comment ref="Q33" authorId="0">
      <text>
        <r>
          <rPr>
            <b/>
            <sz val="8"/>
            <color indexed="81"/>
            <rFont val="Segoe UI"/>
            <family val="2"/>
          </rPr>
          <t>Jens Rosenkranz:</t>
        </r>
        <r>
          <rPr>
            <sz val="8"/>
            <color indexed="81"/>
            <rFont val="Segoe UI"/>
            <family val="2"/>
          </rPr>
          <t xml:space="preserve">
Default value from national or informative annex</t>
        </r>
      </text>
    </comment>
    <comment ref="Q34" authorId="0">
      <text>
        <r>
          <rPr>
            <b/>
            <sz val="8"/>
            <color indexed="81"/>
            <rFont val="Segoe UI"/>
            <family val="2"/>
          </rPr>
          <t>Jens Rosenkranz:</t>
        </r>
        <r>
          <rPr>
            <sz val="8"/>
            <color indexed="81"/>
            <rFont val="Segoe UI"/>
            <family val="2"/>
          </rPr>
          <t xml:space="preserve">
Default value from national or informative annex</t>
        </r>
      </text>
    </comment>
    <comment ref="Q35" authorId="0">
      <text>
        <r>
          <rPr>
            <b/>
            <sz val="8"/>
            <color indexed="81"/>
            <rFont val="Segoe UI"/>
            <family val="2"/>
          </rPr>
          <t>Jens Rosenkranz:</t>
        </r>
        <r>
          <rPr>
            <sz val="8"/>
            <color indexed="81"/>
            <rFont val="Segoe UI"/>
            <family val="2"/>
          </rPr>
          <t xml:space="preserve">
no adjustment required, but general formula for temperature adjustment factor can still be applied:
f_ix = (θ*_int,i - θ_x)/(θ_int,i - θ_e)</t>
        </r>
      </text>
    </comment>
    <comment ref="Q36" authorId="0">
      <text>
        <r>
          <rPr>
            <b/>
            <sz val="8"/>
            <color indexed="81"/>
            <rFont val="Segoe UI"/>
            <family val="2"/>
          </rPr>
          <t>Jens Rosenkranz:</t>
        </r>
        <r>
          <rPr>
            <sz val="8"/>
            <color indexed="81"/>
            <rFont val="Segoe UI"/>
            <family val="2"/>
          </rPr>
          <t xml:space="preserve">
Default value from national or informative annex</t>
        </r>
      </text>
    </comment>
  </commentList>
</comments>
</file>

<file path=xl/comments2.xml><?xml version="1.0" encoding="utf-8"?>
<comments xmlns="http://schemas.openxmlformats.org/spreadsheetml/2006/main">
  <authors>
    <author>Jens Rosenkranz</author>
  </authors>
  <commentList>
    <comment ref="H5" authorId="0">
      <text>
        <r>
          <rPr>
            <b/>
            <sz val="8"/>
            <color indexed="81"/>
            <rFont val="Segoe UI"/>
            <family val="2"/>
          </rPr>
          <t>Jens Rosenkranz:</t>
        </r>
        <r>
          <rPr>
            <sz val="8"/>
            <color indexed="81"/>
            <rFont val="Segoe UI"/>
            <family val="2"/>
          </rPr>
          <t xml:space="preserve">
Further distinction possible (reference sites etc.)</t>
        </r>
      </text>
    </comment>
  </commentList>
</comments>
</file>

<file path=xl/sharedStrings.xml><?xml version="1.0" encoding="utf-8"?>
<sst xmlns="http://schemas.openxmlformats.org/spreadsheetml/2006/main" count="526" uniqueCount="151">
  <si>
    <t>θ_int,i</t>
  </si>
  <si>
    <t>BE</t>
  </si>
  <si>
    <t>n_min</t>
  </si>
  <si>
    <t>°C</t>
  </si>
  <si>
    <t>1/h</t>
  </si>
  <si>
    <t xml:space="preserve">
</t>
  </si>
  <si>
    <t>Room</t>
  </si>
  <si>
    <t>i</t>
  </si>
  <si>
    <t>BE2 | Room 1</t>
  </si>
  <si>
    <t>k</t>
  </si>
  <si>
    <t>Heated space</t>
  </si>
  <si>
    <t>Building element</t>
  </si>
  <si>
    <t>Floor</t>
  </si>
  <si>
    <t>Ceiling</t>
  </si>
  <si>
    <t>Ext Wall N</t>
  </si>
  <si>
    <t>Int Wall S 1</t>
  </si>
  <si>
    <t>Int Wall S 2</t>
  </si>
  <si>
    <t>Ext Wall E</t>
  </si>
  <si>
    <t>Ext Window E</t>
  </si>
  <si>
    <t>Int Wall W</t>
  </si>
  <si>
    <t>W/m²K</t>
  </si>
  <si>
    <t>U_k</t>
  </si>
  <si>
    <t>Area</t>
  </si>
  <si>
    <t>A_k</t>
  </si>
  <si>
    <t>Thermal transmittance</t>
  </si>
  <si>
    <t>m</t>
  </si>
  <si>
    <t>Adjacent space</t>
  </si>
  <si>
    <t>Ground</t>
  </si>
  <si>
    <t>Unheated space</t>
  </si>
  <si>
    <t>Exterior</t>
  </si>
  <si>
    <t>BE2</t>
  </si>
  <si>
    <t>BE/z</t>
  </si>
  <si>
    <t>BE1</t>
  </si>
  <si>
    <t>Int Wall N</t>
  </si>
  <si>
    <t>Ext Wall S</t>
  </si>
  <si>
    <t>Ext Window S</t>
  </si>
  <si>
    <t>Int Wall E</t>
  </si>
  <si>
    <t>Ext Wall W</t>
  </si>
  <si>
    <t>Ext Window W</t>
  </si>
  <si>
    <t>Int Wall S</t>
  </si>
  <si>
    <t>Int Window S 1</t>
  </si>
  <si>
    <t>Int Window S 2</t>
  </si>
  <si>
    <t>-</t>
  </si>
  <si>
    <t>Temperature adjustment factor</t>
  </si>
  <si>
    <t>f_ix</t>
  </si>
  <si>
    <t>Index</t>
  </si>
  <si>
    <t>ig</t>
  </si>
  <si>
    <t>iae</t>
  </si>
  <si>
    <t>ie</t>
  </si>
  <si>
    <t>iaBE</t>
  </si>
  <si>
    <t>ia</t>
  </si>
  <si>
    <t>Ventilation type</t>
  </si>
  <si>
    <t>Natural ventilation, air-tight building</t>
  </si>
  <si>
    <t>m²</t>
  </si>
  <si>
    <t>Internal design temperature</t>
  </si>
  <si>
    <t>Temperature of adjacent space</t>
  </si>
  <si>
    <t>θ_a</t>
  </si>
  <si>
    <t>θ_me</t>
  </si>
  <si>
    <t>θ_e</t>
  </si>
  <si>
    <t>Depth of water table below floor slab</t>
  </si>
  <si>
    <t>&gt; 1</t>
  </si>
  <si>
    <t>Exposed periphery (floors)</t>
  </si>
  <si>
    <t>P</t>
  </si>
  <si>
    <t>H_ue</t>
  </si>
  <si>
    <t>W/K</t>
  </si>
  <si>
    <t>Thermal bridges</t>
  </si>
  <si>
    <t>ΔU_TB</t>
  </si>
  <si>
    <t>Heat transfer coefficient from BE directly or indirectly to exterior</t>
  </si>
  <si>
    <t>Depth below ground level (floors, basement walls)</t>
  </si>
  <si>
    <t>z</t>
  </si>
  <si>
    <t>Geometric parameter floor slab</t>
  </si>
  <si>
    <t>B'</t>
  </si>
  <si>
    <t>Influence of ground water and annual temperature variation</t>
  </si>
  <si>
    <t>f_GW,k * f_θann</t>
  </si>
  <si>
    <t>Equivalent U-value (floors, basement walls)</t>
  </si>
  <si>
    <t>U_equiv,k</t>
  </si>
  <si>
    <t>Heat transfer coefficient between adjoining rooms and BE</t>
  </si>
  <si>
    <t>H_ju</t>
  </si>
  <si>
    <t>W</t>
  </si>
  <si>
    <t>BE1 | Room1</t>
  </si>
  <si>
    <t>BE1 | Room2</t>
  </si>
  <si>
    <t>BE2 | Room1</t>
  </si>
  <si>
    <t>BE2 | Room2</t>
  </si>
  <si>
    <t>H_ju * θ_j</t>
  </si>
  <si>
    <t>H_ue * θ_e</t>
  </si>
  <si>
    <t>Internal temperature of BE (looked upon as unheated BE)</t>
  </si>
  <si>
    <t>θ_u</t>
  </si>
  <si>
    <t>Annual mean external temperature</t>
  </si>
  <si>
    <t>External design temperature</t>
  </si>
  <si>
    <t>θ_x,min</t>
  </si>
  <si>
    <t>Transmission heat loss coefficient from i to x</t>
  </si>
  <si>
    <t>Building entity</t>
  </si>
  <si>
    <t>Ventilation zone</t>
  </si>
  <si>
    <t>Minimum air flow rate of the heated space i</t>
  </si>
  <si>
    <t>n_min,i</t>
  </si>
  <si>
    <t>Internal volume of i</t>
  </si>
  <si>
    <t>V_i</t>
  </si>
  <si>
    <t>m³</t>
  </si>
  <si>
    <t>Minimum air flow of i</t>
  </si>
  <si>
    <t>q_v,min,i</t>
  </si>
  <si>
    <t>m³/h</t>
  </si>
  <si>
    <t>Φ_v,i</t>
  </si>
  <si>
    <t>ρ * c_w</t>
  </si>
  <si>
    <t>Wh/m³K</t>
  </si>
  <si>
    <t>Temperature- and volume-specific thermal capacity of air</t>
  </si>
  <si>
    <t>Φ_v,z</t>
  </si>
  <si>
    <t>Φ_v,build</t>
  </si>
  <si>
    <t>Transmission heat loss</t>
  </si>
  <si>
    <t>Φ_HL,i</t>
  </si>
  <si>
    <t>Φ_HL,BE</t>
  </si>
  <si>
    <t>Φ_HL,build</t>
  </si>
  <si>
    <t>Additional heating-up capacities</t>
  </si>
  <si>
    <t>none</t>
  </si>
  <si>
    <t>Design heat load</t>
  </si>
  <si>
    <t>Design transmission heat loss</t>
  </si>
  <si>
    <t>Design ventilation heat loss</t>
  </si>
  <si>
    <t>Φ_T,i</t>
  </si>
  <si>
    <t>Φ_T,z</t>
  </si>
  <si>
    <t>Φ_T,build</t>
  </si>
  <si>
    <t>H_T,ix</t>
  </si>
  <si>
    <t>Φ_T,ix</t>
  </si>
  <si>
    <t>External walls</t>
  </si>
  <si>
    <t>Internal walls between rooms of one BE</t>
  </si>
  <si>
    <t>Windows</t>
  </si>
  <si>
    <t>Internal walls between BEs, floors</t>
  </si>
  <si>
    <t>U</t>
  </si>
  <si>
    <t>Ventilation</t>
  </si>
  <si>
    <t>Transmission</t>
  </si>
  <si>
    <t>Total</t>
  </si>
  <si>
    <t>acb</t>
  </si>
  <si>
    <t>Input / project specifications</t>
  </si>
  <si>
    <t>Calculated data: interim/end results</t>
  </si>
  <si>
    <t>unheated (winter garden, glazed balkony, etc.)</t>
  </si>
  <si>
    <t>Building entity / Ventilation zone</t>
  </si>
  <si>
    <t>Minimum temperature of unoccupied spaces / building entities</t>
  </si>
  <si>
    <t>Repeated occurrence of input data</t>
  </si>
  <si>
    <t>Repeated occurrence of calculated data</t>
  </si>
  <si>
    <t>DISCLAIMER:</t>
  </si>
  <si>
    <r>
      <t>·</t>
    </r>
    <r>
      <rPr>
        <sz val="7"/>
        <color theme="1"/>
        <rFont val="Times New Roman"/>
        <family val="1"/>
      </rPr>
      <t xml:space="preserve">        </t>
    </r>
    <r>
      <rPr>
        <sz val="10"/>
        <color theme="1"/>
        <rFont val="Arial"/>
        <family val="2"/>
      </rPr>
      <t xml:space="preserve">This spreadsheet has been developed in the framework of the preparation and revision of the set of EN or ISO standards on the energy performance of buildings, to support the European "Energy Performance of Buildings Directive" recast (EPBD-recast, directive 2010/31/EU). </t>
    </r>
  </si>
  <si>
    <r>
      <t>·</t>
    </r>
    <r>
      <rPr>
        <sz val="7"/>
        <color theme="1"/>
        <rFont val="Times New Roman"/>
        <family val="1"/>
      </rPr>
      <t xml:space="preserve">        </t>
    </r>
    <r>
      <rPr>
        <sz val="10"/>
        <color theme="1"/>
        <rFont val="Arial"/>
        <family val="2"/>
      </rPr>
      <t>It is meant for use by  CEN and ISO technical committee(s) and the working group(s) working on the preparation or revision of the EPB-standard to which this spreadsheet applies. The spreadsheet supports checking  that all equations in the developed standard are consistent and can be linked with other relevant standards. It is not meant to perform a full or partial energy performance calculation.</t>
    </r>
  </si>
  <si>
    <r>
      <t>·</t>
    </r>
    <r>
      <rPr>
        <sz val="7"/>
        <color theme="1"/>
        <rFont val="Times New Roman"/>
        <family val="1"/>
      </rPr>
      <t xml:space="preserve">        </t>
    </r>
    <r>
      <rPr>
        <sz val="10"/>
        <color theme="1"/>
        <rFont val="Arial"/>
        <family val="2"/>
      </rPr>
      <t>The spreadsheet supports the expert user of the standards, in particular those who want to review the content of the standard and those who want to translate the standard to a software, to understand the correct interpretation of the equations and calculation steps in the standard.</t>
    </r>
  </si>
  <si>
    <r>
      <t>·</t>
    </r>
    <r>
      <rPr>
        <sz val="7"/>
        <color theme="1"/>
        <rFont val="Times New Roman"/>
        <family val="1"/>
      </rPr>
      <t xml:space="preserve">        </t>
    </r>
    <r>
      <rPr>
        <sz val="10"/>
        <color theme="1"/>
        <rFont val="Arial"/>
        <family val="2"/>
      </rPr>
      <t>Although it has been developed with care, neither the technical committee(s), nor the working group(s) and experts related to the EPB- standard to which this spreadsheet applies warrant that the calculations and procedures in this spreadsheet are free of errors. The technical committees as well as the working groups and their respective members expressly disclaim any liability or responsibility arising from use of this spreadsheet, or any consequences thereof. Any responsibility arising from the use of this spreadsheet lies with the user.</t>
    </r>
  </si>
  <si>
    <t>DRAFT VERSION:</t>
  </si>
  <si>
    <r>
      <t>·</t>
    </r>
    <r>
      <rPr>
        <sz val="7"/>
        <color theme="1"/>
        <rFont val="Times New Roman"/>
        <family val="1"/>
      </rPr>
      <t xml:space="preserve">        </t>
    </r>
    <r>
      <rPr>
        <sz val="10"/>
        <color theme="1"/>
        <rFont val="Arial"/>
        <family val="2"/>
      </rPr>
      <t>As long as the associated EPB standard or any of the other EPB standards to which it is directly linked are in a draft stage, this spreadsheet is also a draft version only.</t>
    </r>
  </si>
  <si>
    <t xml:space="preserve">WARNINGS: </t>
  </si>
  <si>
    <r>
      <t>·</t>
    </r>
    <r>
      <rPr>
        <sz val="7"/>
        <color theme="1"/>
        <rFont val="Times New Roman"/>
        <family val="1"/>
      </rPr>
      <t xml:space="preserve">        </t>
    </r>
    <r>
      <rPr>
        <sz val="10"/>
        <color theme="1"/>
        <rFont val="Arial"/>
        <family val="2"/>
      </rPr>
      <t xml:space="preserve">Note that the spreadsheet may not allow testing all calculation options that are possible according to the standard to which it applies. This remark applies in particular but not only to limitations on the number instances of a variable that can be considered. </t>
    </r>
  </si>
  <si>
    <r>
      <t>·</t>
    </r>
    <r>
      <rPr>
        <sz val="7"/>
        <color theme="1"/>
        <rFont val="Times New Roman"/>
        <family val="1"/>
      </rPr>
      <t xml:space="preserve">        </t>
    </r>
    <r>
      <rPr>
        <sz val="10"/>
        <color theme="1"/>
        <rFont val="Arial"/>
        <family val="2"/>
      </rPr>
      <t>In case of differences, the standard should be regarded as the reference, not the spreadsheet. However, during the standard's drafting phase, shortcomings in the draft standard may have been detected and dealt with in the spreadsheets (ideally, such differences are marked).</t>
    </r>
  </si>
  <si>
    <r>
      <t>·</t>
    </r>
    <r>
      <rPr>
        <sz val="7"/>
        <color theme="1"/>
        <rFont val="Times New Roman"/>
        <family val="1"/>
      </rPr>
      <t xml:space="preserve">        </t>
    </r>
    <r>
      <rPr>
        <sz val="10"/>
        <color theme="1"/>
        <rFont val="Arial"/>
        <family val="2"/>
      </rPr>
      <t xml:space="preserve">Note also that these spreadsheets are purely intended for testing and demonstration and therefore not aiming to be user friendly or to be protected against wrong or improper use. </t>
    </r>
  </si>
  <si>
    <t>TERMS OF USE:</t>
  </si>
  <si>
    <r>
      <t>·</t>
    </r>
    <r>
      <rPr>
        <sz val="7"/>
        <color theme="1"/>
        <rFont val="Times New Roman"/>
        <family val="1"/>
      </rPr>
      <t xml:space="preserve">        </t>
    </r>
    <r>
      <rPr>
        <sz val="10"/>
        <color theme="1"/>
        <rFont val="Arial"/>
        <family val="2"/>
      </rPr>
      <t>The user is not allowed to redistribute a modified version of this spreadsheet.</t>
    </r>
  </si>
  <si>
    <r>
      <t>·</t>
    </r>
    <r>
      <rPr>
        <sz val="7"/>
        <color theme="1"/>
        <rFont val="Times New Roman"/>
        <family val="1"/>
      </rPr>
      <t xml:space="preserve">        </t>
    </r>
    <r>
      <rPr>
        <sz val="10"/>
        <color theme="1"/>
        <rFont val="Arial"/>
        <family val="2"/>
      </rPr>
      <t>The author(s) would appreciate your feed back on the spreadsheet via the comment sheets for the associated draft standard to be prepared by the national standards bodies during enquiry of the draft standard(s),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</si>
</sst>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0"/>
      <color theme="1"/>
      <name val="Arial Narrow"/>
      <family val="2"/>
    </font>
    <font>
      <sz val="8"/>
      <color theme="1"/>
      <name val="Arial Narrow"/>
      <family val="2"/>
    </font>
    <font>
      <sz val="10"/>
      <color theme="0"/>
      <name val="Arial Narrow"/>
      <family val="2"/>
    </font>
    <font>
      <sz val="10"/>
      <name val="Arial Narrow"/>
      <family val="2"/>
    </font>
    <font>
      <sz val="8"/>
      <color indexed="81"/>
      <name val="Segoe UI"/>
      <family val="2"/>
    </font>
    <font>
      <b/>
      <sz val="8"/>
      <color indexed="81"/>
      <name val="Segoe UI"/>
      <family val="2"/>
    </font>
    <font>
      <i/>
      <sz val="10"/>
      <color theme="0"/>
      <name val="Arial Narrow"/>
      <family val="2"/>
    </font>
    <font>
      <b/>
      <sz val="14"/>
      <color theme="0"/>
      <name val="Arial Narrow"/>
      <family val="2"/>
    </font>
    <font>
      <sz val="10"/>
      <color theme="1"/>
      <name val="Arial"/>
      <family val="2"/>
    </font>
    <font>
      <b/>
      <sz val="10"/>
      <color theme="1"/>
      <name val="Arial"/>
      <family val="2"/>
    </font>
    <font>
      <sz val="10"/>
      <color theme="1"/>
      <name val="Symbol"/>
      <family val="1"/>
      <charset val="2"/>
    </font>
    <font>
      <sz val="7"/>
      <color theme="1"/>
      <name val="Times New Roman"/>
      <family val="1"/>
    </font>
  </fonts>
  <fills count="9">
    <fill>
      <patternFill patternType="none"/>
    </fill>
    <fill>
      <patternFill patternType="gray125"/>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theme="6" tint="0.59999389629810485"/>
        <bgColor indexed="64"/>
      </patternFill>
    </fill>
    <fill>
      <patternFill patternType="solid">
        <fgColor theme="4"/>
        <bgColor indexed="64"/>
      </patternFill>
    </fill>
    <fill>
      <patternFill patternType="solid">
        <fgColor theme="7" tint="-0.249977111117893"/>
        <bgColor indexed="64"/>
      </patternFill>
    </fill>
    <fill>
      <patternFill patternType="solid">
        <fgColor theme="9"/>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95">
    <xf numFmtId="0" fontId="0" fillId="0" borderId="0" xfId="0"/>
    <xf numFmtId="0" fontId="1" fillId="0" borderId="0" xfId="0" applyFont="1" applyAlignment="1">
      <alignment horizontal="left" vertical="center"/>
    </xf>
    <xf numFmtId="0" fontId="1" fillId="2" borderId="0" xfId="0" applyFont="1" applyFill="1" applyAlignment="1">
      <alignment horizontal="left" vertical="center"/>
    </xf>
    <xf numFmtId="0" fontId="1" fillId="3" borderId="0" xfId="0" applyFont="1" applyFill="1" applyAlignment="1">
      <alignment horizontal="left" vertical="center"/>
    </xf>
    <xf numFmtId="0" fontId="1" fillId="0" borderId="0" xfId="0" applyFont="1" applyAlignment="1">
      <alignment horizontal="left" vertical="center" wrapText="1"/>
    </xf>
    <xf numFmtId="0" fontId="2" fillId="4" borderId="1" xfId="0" applyFont="1" applyFill="1" applyBorder="1" applyAlignment="1">
      <alignment horizontal="center" vertical="center" textRotation="90"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2" fillId="4" borderId="1"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5" borderId="1" xfId="0" applyFont="1" applyFill="1" applyBorder="1" applyAlignment="1">
      <alignment horizontal="center" vertical="center" wrapText="1"/>
    </xf>
    <xf numFmtId="2" fontId="2" fillId="6" borderId="2" xfId="0" applyNumberFormat="1" applyFont="1" applyFill="1" applyBorder="1" applyAlignment="1">
      <alignment horizontal="center" vertical="center" wrapText="1"/>
    </xf>
    <xf numFmtId="164" fontId="3" fillId="5" borderId="2"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4" fontId="3" fillId="5" borderId="1" xfId="0" applyNumberFormat="1" applyFont="1" applyFill="1" applyBorder="1" applyAlignment="1">
      <alignment horizontal="center" vertical="center" wrapText="1"/>
    </xf>
    <xf numFmtId="164" fontId="6" fillId="6" borderId="2" xfId="0" applyNumberFormat="1" applyFont="1" applyFill="1" applyBorder="1" applyAlignment="1">
      <alignment horizontal="center" vertical="center" wrapText="1"/>
    </xf>
    <xf numFmtId="2" fontId="2" fillId="8" borderId="2" xfId="0" applyNumberFormat="1" applyFont="1" applyFill="1" applyBorder="1" applyAlignment="1">
      <alignment horizontal="center" vertical="center" wrapText="1"/>
    </xf>
    <xf numFmtId="2" fontId="0" fillId="0" borderId="2" xfId="0" applyNumberFormat="1" applyFont="1" applyFill="1" applyBorder="1" applyAlignment="1">
      <alignment horizontal="center" vertical="center" wrapText="1"/>
    </xf>
    <xf numFmtId="2" fontId="0" fillId="0" borderId="1" xfId="0" applyNumberFormat="1" applyFont="1" applyFill="1" applyBorder="1" applyAlignment="1">
      <alignment horizontal="center" vertical="center" wrapText="1"/>
    </xf>
    <xf numFmtId="0" fontId="2" fillId="4" borderId="7" xfId="0" applyFont="1" applyFill="1" applyBorder="1" applyAlignment="1">
      <alignment horizontal="center" vertical="center" textRotation="90" wrapText="1"/>
    </xf>
    <xf numFmtId="0" fontId="2" fillId="4" borderId="8" xfId="0" applyFont="1" applyFill="1" applyBorder="1" applyAlignment="1">
      <alignment horizontal="center" vertical="center" textRotation="90" wrapText="1"/>
    </xf>
    <xf numFmtId="0" fontId="2" fillId="4" borderId="11" xfId="0" applyFont="1" applyFill="1" applyBorder="1" applyAlignment="1">
      <alignment horizontal="center" vertical="center" textRotation="90"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0" fillId="0" borderId="8" xfId="0" applyFont="1" applyFill="1" applyBorder="1" applyAlignment="1">
      <alignment horizontal="center" vertical="center" wrapText="1"/>
    </xf>
    <xf numFmtId="2" fontId="2" fillId="0" borderId="8" xfId="0" applyNumberFormat="1" applyFont="1" applyFill="1" applyBorder="1" applyAlignment="1">
      <alignment horizontal="center" vertical="center" wrapText="1"/>
    </xf>
    <xf numFmtId="2" fontId="2" fillId="8" borderId="8" xfId="0" applyNumberFormat="1" applyFont="1" applyFill="1" applyBorder="1" applyAlignment="1">
      <alignment horizontal="center" vertical="center" wrapText="1"/>
    </xf>
    <xf numFmtId="2" fontId="2" fillId="8" borderId="22" xfId="0" applyNumberFormat="1" applyFont="1" applyFill="1" applyBorder="1" applyAlignment="1">
      <alignment horizontal="center" vertical="center" wrapText="1"/>
    </xf>
    <xf numFmtId="2" fontId="2" fillId="8" borderId="24" xfId="0" applyNumberFormat="1" applyFont="1" applyFill="1" applyBorder="1" applyAlignment="1">
      <alignment horizontal="center" vertical="center" wrapText="1"/>
    </xf>
    <xf numFmtId="2" fontId="0" fillId="0" borderId="14"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0" fillId="0" borderId="16" xfId="0" applyFont="1" applyFill="1" applyBorder="1" applyAlignment="1">
      <alignment horizontal="center" vertical="center" wrapText="1"/>
    </xf>
    <xf numFmtId="2" fontId="0" fillId="0" borderId="26" xfId="0" applyNumberFormat="1" applyFont="1" applyFill="1" applyBorder="1" applyAlignment="1">
      <alignment horizontal="center" vertical="center" wrapText="1"/>
    </xf>
    <xf numFmtId="2" fontId="2" fillId="8" borderId="26" xfId="0" applyNumberFormat="1" applyFont="1" applyFill="1" applyBorder="1" applyAlignment="1">
      <alignment horizontal="center" vertical="center" wrapText="1"/>
    </xf>
    <xf numFmtId="2" fontId="2" fillId="8" borderId="27" xfId="0" applyNumberFormat="1" applyFont="1" applyFill="1" applyBorder="1" applyAlignment="1">
      <alignment horizontal="center" vertical="center" wrapText="1"/>
    </xf>
    <xf numFmtId="2" fontId="0" fillId="0" borderId="31" xfId="0" applyNumberFormat="1" applyFont="1" applyFill="1" applyBorder="1" applyAlignment="1">
      <alignment horizontal="center" vertical="center" wrapText="1"/>
    </xf>
    <xf numFmtId="2" fontId="0" fillId="0" borderId="32" xfId="0" applyNumberFormat="1" applyFont="1" applyFill="1" applyBorder="1" applyAlignment="1">
      <alignment horizontal="center" vertical="center" wrapText="1"/>
    </xf>
    <xf numFmtId="2" fontId="2" fillId="8" borderId="33" xfId="0" applyNumberFormat="1" applyFont="1" applyFill="1" applyBorder="1" applyAlignment="1">
      <alignment horizontal="center" vertical="center" wrapText="1"/>
    </xf>
    <xf numFmtId="2" fontId="0" fillId="0" borderId="34" xfId="0" applyNumberFormat="1" applyFont="1" applyFill="1" applyBorder="1" applyAlignment="1">
      <alignment horizontal="center" vertical="center" wrapText="1"/>
    </xf>
    <xf numFmtId="2" fontId="2" fillId="8" borderId="7" xfId="0" applyNumberFormat="1" applyFont="1" applyFill="1" applyBorder="1" applyAlignment="1">
      <alignment horizontal="center" vertical="center" wrapText="1"/>
    </xf>
    <xf numFmtId="2" fontId="2" fillId="8" borderId="35" xfId="0" applyNumberFormat="1" applyFont="1" applyFill="1" applyBorder="1" applyAlignment="1">
      <alignment horizontal="center" vertical="center" wrapText="1"/>
    </xf>
    <xf numFmtId="2" fontId="2" fillId="8" borderId="25" xfId="0" applyNumberFormat="1" applyFont="1" applyFill="1" applyBorder="1" applyAlignment="1">
      <alignment horizontal="center" vertical="center" wrapText="1"/>
    </xf>
    <xf numFmtId="2" fontId="2" fillId="8" borderId="9" xfId="0" applyNumberFormat="1" applyFont="1" applyFill="1" applyBorder="1" applyAlignment="1">
      <alignment horizontal="center" vertical="center" wrapText="1"/>
    </xf>
    <xf numFmtId="2" fontId="2" fillId="8" borderId="3" xfId="0" applyNumberFormat="1" applyFont="1" applyFill="1" applyBorder="1" applyAlignment="1">
      <alignment horizontal="center" vertical="center" wrapText="1"/>
    </xf>
    <xf numFmtId="2" fontId="2" fillId="8" borderId="36" xfId="0" applyNumberFormat="1" applyFont="1" applyFill="1" applyBorder="1" applyAlignment="1">
      <alignment horizontal="center" vertical="center" wrapText="1"/>
    </xf>
    <xf numFmtId="2" fontId="2" fillId="6" borderId="8" xfId="0" applyNumberFormat="1" applyFont="1" applyFill="1" applyBorder="1" applyAlignment="1">
      <alignment horizontal="center" vertical="center" wrapText="1"/>
    </xf>
    <xf numFmtId="2" fontId="2" fillId="6" borderId="22" xfId="0" applyNumberFormat="1" applyFont="1" applyFill="1" applyBorder="1" applyAlignment="1">
      <alignment horizontal="center" vertical="center" wrapText="1"/>
    </xf>
    <xf numFmtId="2" fontId="2" fillId="6" borderId="14" xfId="0" applyNumberFormat="1" applyFont="1" applyFill="1" applyBorder="1" applyAlignment="1">
      <alignment horizontal="center" vertical="center" wrapText="1"/>
    </xf>
    <xf numFmtId="2" fontId="0" fillId="0" borderId="24" xfId="0" applyNumberFormat="1" applyFont="1" applyFill="1" applyBorder="1" applyAlignment="1">
      <alignment horizontal="center" vertical="center" wrapText="1"/>
    </xf>
    <xf numFmtId="164" fontId="6" fillId="8" borderId="26" xfId="0" applyNumberFormat="1" applyFont="1" applyFill="1" applyBorder="1" applyAlignment="1">
      <alignment horizontal="center" vertical="center" wrapText="1"/>
    </xf>
    <xf numFmtId="2" fontId="0" fillId="0" borderId="16" xfId="0" applyNumberFormat="1" applyFont="1" applyFill="1" applyBorder="1" applyAlignment="1">
      <alignment horizontal="center" vertical="center" wrapText="1"/>
    </xf>
    <xf numFmtId="2" fontId="2" fillId="6" borderId="26" xfId="0" applyNumberFormat="1" applyFont="1" applyFill="1" applyBorder="1" applyAlignment="1">
      <alignment horizontal="center" vertical="center" wrapText="1"/>
    </xf>
    <xf numFmtId="2" fontId="0" fillId="0" borderId="27" xfId="0" applyNumberFormat="1" applyFont="1" applyFill="1" applyBorder="1" applyAlignment="1">
      <alignment horizontal="center" vertical="center" wrapText="1"/>
    </xf>
    <xf numFmtId="164" fontId="3" fillId="0" borderId="16" xfId="0" applyNumberFormat="1" applyFont="1" applyFill="1" applyBorder="1" applyAlignment="1">
      <alignment horizontal="center" vertical="center" wrapText="1"/>
    </xf>
    <xf numFmtId="2" fontId="2" fillId="6" borderId="20" xfId="0" applyNumberFormat="1" applyFont="1" applyFill="1" applyBorder="1" applyAlignment="1">
      <alignment horizontal="center" vertical="center" wrapText="1"/>
    </xf>
    <xf numFmtId="2" fontId="0" fillId="0" borderId="33" xfId="0" applyNumberFormat="1" applyFont="1" applyFill="1" applyBorder="1" applyAlignment="1">
      <alignment horizontal="center" vertical="center" wrapText="1"/>
    </xf>
    <xf numFmtId="2" fontId="2" fillId="6" borderId="34" xfId="0" applyNumberFormat="1" applyFont="1" applyFill="1" applyBorder="1" applyAlignment="1">
      <alignment horizontal="center" vertical="center" wrapText="1"/>
    </xf>
    <xf numFmtId="2" fontId="0" fillId="0" borderId="30" xfId="0" applyNumberFormat="1" applyFont="1" applyFill="1" applyBorder="1" applyAlignment="1">
      <alignment horizontal="center" vertical="center" wrapText="1"/>
    </xf>
    <xf numFmtId="2" fontId="2" fillId="6" borderId="7" xfId="0" applyNumberFormat="1" applyFont="1" applyFill="1" applyBorder="1" applyAlignment="1">
      <alignment horizontal="center" vertical="center" wrapText="1"/>
    </xf>
    <xf numFmtId="2" fontId="2" fillId="6" borderId="35" xfId="0" applyNumberFormat="1" applyFont="1" applyFill="1" applyBorder="1" applyAlignment="1">
      <alignment horizontal="center" vertical="center" wrapText="1"/>
    </xf>
    <xf numFmtId="2" fontId="2" fillId="6" borderId="25" xfId="0" applyNumberFormat="1" applyFont="1" applyFill="1" applyBorder="1" applyAlignment="1">
      <alignment horizontal="center" vertical="center" wrapText="1"/>
    </xf>
    <xf numFmtId="2" fontId="2" fillId="6" borderId="9" xfId="0" applyNumberFormat="1" applyFont="1" applyFill="1" applyBorder="1" applyAlignment="1">
      <alignment horizontal="center" vertical="center" wrapText="1"/>
    </xf>
    <xf numFmtId="2" fontId="2" fillId="6" borderId="3" xfId="0" applyNumberFormat="1" applyFont="1" applyFill="1" applyBorder="1" applyAlignment="1">
      <alignment horizontal="center" vertical="center" wrapText="1"/>
    </xf>
    <xf numFmtId="2" fontId="2" fillId="6" borderId="36" xfId="0" applyNumberFormat="1" applyFont="1" applyFill="1" applyBorder="1" applyAlignment="1">
      <alignment horizontal="center" vertical="center" wrapText="1"/>
    </xf>
    <xf numFmtId="2" fontId="2" fillId="6" borderId="24" xfId="0" applyNumberFormat="1" applyFont="1" applyFill="1" applyBorder="1" applyAlignment="1">
      <alignment horizontal="center" vertical="center" wrapText="1"/>
    </xf>
    <xf numFmtId="2" fontId="2" fillId="6" borderId="27" xfId="0" applyNumberFormat="1" applyFont="1" applyFill="1" applyBorder="1" applyAlignment="1">
      <alignment horizontal="center" vertical="center" wrapText="1"/>
    </xf>
    <xf numFmtId="0" fontId="2" fillId="4" borderId="14" xfId="0" applyFont="1" applyFill="1" applyBorder="1" applyAlignment="1">
      <alignment horizontal="center" vertical="center" textRotation="90"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left" vertical="center" wrapText="1"/>
    </xf>
    <xf numFmtId="0" fontId="3" fillId="5" borderId="8"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0" fillId="5" borderId="8" xfId="0" applyFont="1" applyFill="1" applyBorder="1" applyAlignment="1">
      <alignment horizontal="center" vertical="center" wrapText="1"/>
    </xf>
    <xf numFmtId="164" fontId="2" fillId="8" borderId="8" xfId="0" applyNumberFormat="1" applyFont="1" applyFill="1" applyBorder="1" applyAlignment="1">
      <alignment horizontal="center" vertical="center" wrapText="1"/>
    </xf>
    <xf numFmtId="1" fontId="2" fillId="8" borderId="22" xfId="0" applyNumberFormat="1" applyFont="1" applyFill="1" applyBorder="1" applyAlignment="1">
      <alignment horizontal="center" vertical="center" wrapText="1"/>
    </xf>
    <xf numFmtId="0" fontId="0" fillId="5" borderId="16" xfId="0" applyFont="1" applyFill="1" applyBorder="1" applyAlignment="1">
      <alignment horizontal="center" vertical="center" wrapText="1"/>
    </xf>
    <xf numFmtId="164" fontId="2" fillId="8" borderId="26" xfId="0" applyNumberFormat="1" applyFont="1" applyFill="1" applyBorder="1" applyAlignment="1">
      <alignment horizontal="center" vertical="center" wrapText="1"/>
    </xf>
    <xf numFmtId="1" fontId="2" fillId="8" borderId="27" xfId="0" applyNumberFormat="1" applyFont="1" applyFill="1" applyBorder="1" applyAlignment="1">
      <alignment horizontal="center" vertical="center" wrapText="1"/>
    </xf>
    <xf numFmtId="164" fontId="2" fillId="6" borderId="8" xfId="0" applyNumberFormat="1" applyFont="1" applyFill="1" applyBorder="1" applyAlignment="1">
      <alignment horizontal="center" vertical="center" wrapText="1"/>
    </xf>
    <xf numFmtId="1" fontId="2" fillId="6" borderId="22" xfId="0" applyNumberFormat="1" applyFont="1" applyFill="1" applyBorder="1" applyAlignment="1">
      <alignment horizontal="center" vertical="center" wrapText="1"/>
    </xf>
    <xf numFmtId="164" fontId="2" fillId="6" borderId="26" xfId="0" applyNumberFormat="1" applyFont="1" applyFill="1" applyBorder="1" applyAlignment="1">
      <alignment horizontal="center" vertical="center" wrapText="1"/>
    </xf>
    <xf numFmtId="1" fontId="2" fillId="6" borderId="27" xfId="0" applyNumberFormat="1" applyFont="1" applyFill="1" applyBorder="1" applyAlignment="1">
      <alignment horizontal="center" vertical="center" wrapText="1"/>
    </xf>
    <xf numFmtId="0" fontId="2" fillId="4" borderId="22" xfId="0" applyFont="1" applyFill="1" applyBorder="1" applyAlignment="1">
      <alignment horizontal="center" vertical="center" textRotation="90" wrapText="1"/>
    </xf>
    <xf numFmtId="0" fontId="0" fillId="0" borderId="2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3" fillId="5" borderId="8"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28" xfId="0" applyFont="1" applyFill="1" applyBorder="1" applyAlignment="1">
      <alignment horizontal="left" vertical="center" wrapText="1"/>
    </xf>
    <xf numFmtId="0" fontId="3" fillId="5" borderId="21" xfId="0" applyFont="1" applyFill="1" applyBorder="1" applyAlignment="1">
      <alignment horizontal="left" vertical="center" wrapText="1"/>
    </xf>
    <xf numFmtId="0" fontId="3" fillId="5" borderId="29" xfId="0" applyFont="1" applyFill="1" applyBorder="1" applyAlignment="1">
      <alignment horizontal="left" vertical="center" wrapText="1"/>
    </xf>
    <xf numFmtId="0" fontId="3" fillId="5" borderId="23" xfId="0" applyFont="1" applyFill="1" applyBorder="1" applyAlignment="1">
      <alignment horizontal="left" vertical="center" wrapText="1"/>
    </xf>
    <xf numFmtId="0" fontId="3" fillId="5" borderId="25" xfId="0" applyFont="1" applyFill="1" applyBorder="1" applyAlignment="1">
      <alignment horizontal="left" vertical="center" wrapText="1"/>
    </xf>
    <xf numFmtId="0" fontId="3" fillId="5" borderId="30" xfId="0" applyFont="1" applyFill="1" applyBorder="1" applyAlignment="1">
      <alignment horizontal="left" vertical="center" wrapText="1"/>
    </xf>
    <xf numFmtId="0" fontId="0" fillId="5" borderId="8" xfId="0" applyFont="1" applyFill="1" applyBorder="1" applyAlignment="1">
      <alignment horizontal="left" vertical="center" wrapText="1"/>
    </xf>
    <xf numFmtId="0" fontId="0" fillId="5" borderId="16" xfId="0" applyFont="1" applyFill="1" applyBorder="1" applyAlignment="1">
      <alignment horizontal="left" vertical="center" wrapText="1"/>
    </xf>
    <xf numFmtId="1" fontId="2" fillId="8" borderId="20" xfId="0" applyNumberFormat="1" applyFont="1" applyFill="1" applyBorder="1" applyAlignment="1">
      <alignment horizontal="center" vertical="center" wrapText="1"/>
    </xf>
    <xf numFmtId="1" fontId="2" fillId="6" borderId="20" xfId="0"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0" fontId="0" fillId="5" borderId="5" xfId="0" applyFont="1" applyFill="1" applyBorder="1" applyAlignment="1">
      <alignment horizontal="left" vertical="center" wrapText="1"/>
    </xf>
    <xf numFmtId="0" fontId="2" fillId="6" borderId="5" xfId="0" applyFont="1" applyFill="1" applyBorder="1" applyAlignment="1">
      <alignment horizontal="left" vertical="center" wrapText="1"/>
    </xf>
    <xf numFmtId="0" fontId="2" fillId="8" borderId="5" xfId="0" applyFont="1" applyFill="1" applyBorder="1" applyAlignment="1">
      <alignment horizontal="left" vertical="center" wrapText="1"/>
    </xf>
    <xf numFmtId="0" fontId="2" fillId="7" borderId="5" xfId="0" applyFont="1" applyFill="1" applyBorder="1" applyAlignment="1">
      <alignment horizontal="left" vertical="center" wrapText="1"/>
    </xf>
    <xf numFmtId="0" fontId="6" fillId="6" borderId="5" xfId="0" applyFont="1" applyFill="1" applyBorder="1" applyAlignment="1">
      <alignment horizontal="left" vertical="center" wrapText="1"/>
    </xf>
    <xf numFmtId="0" fontId="6" fillId="8" borderId="5" xfId="0" applyFont="1" applyFill="1" applyBorder="1" applyAlignment="1">
      <alignment horizontal="left" vertical="center" wrapText="1"/>
    </xf>
    <xf numFmtId="164" fontId="3" fillId="5" borderId="8" xfId="0" applyNumberFormat="1" applyFont="1" applyFill="1" applyBorder="1" applyAlignment="1">
      <alignment horizontal="center" vertical="center" wrapText="1"/>
    </xf>
    <xf numFmtId="0" fontId="0" fillId="5" borderId="26" xfId="0" applyFont="1" applyFill="1" applyBorder="1" applyAlignment="1">
      <alignment horizontal="center" vertical="center" wrapText="1"/>
    </xf>
    <xf numFmtId="164" fontId="3" fillId="5" borderId="26" xfId="0" applyNumberFormat="1" applyFont="1" applyFill="1" applyBorder="1" applyAlignment="1">
      <alignment horizontal="center" vertical="center" wrapText="1"/>
    </xf>
    <xf numFmtId="0" fontId="0" fillId="0" borderId="37" xfId="0" applyFont="1" applyBorder="1" applyAlignment="1">
      <alignment horizontal="left" vertical="center" wrapText="1"/>
    </xf>
    <xf numFmtId="0" fontId="0" fillId="0" borderId="10" xfId="0" applyFont="1" applyBorder="1" applyAlignment="1">
      <alignment horizontal="left" vertical="center" wrapText="1"/>
    </xf>
    <xf numFmtId="0" fontId="0" fillId="0" borderId="22" xfId="0" applyFont="1" applyBorder="1" applyAlignment="1">
      <alignment horizontal="left" vertical="center" wrapText="1"/>
    </xf>
    <xf numFmtId="0" fontId="0" fillId="5" borderId="38" xfId="0" applyFont="1" applyFill="1" applyBorder="1" applyAlignment="1">
      <alignment horizontal="left" vertical="center" wrapText="1"/>
    </xf>
    <xf numFmtId="0" fontId="0" fillId="0" borderId="14" xfId="0" applyFont="1" applyBorder="1" applyAlignment="1">
      <alignment horizontal="left" vertical="center" wrapText="1"/>
    </xf>
    <xf numFmtId="0" fontId="2" fillId="6" borderId="38" xfId="0" applyFont="1" applyFill="1" applyBorder="1" applyAlignment="1">
      <alignment horizontal="left" vertical="center" wrapText="1"/>
    </xf>
    <xf numFmtId="0" fontId="2" fillId="8" borderId="38" xfId="0" applyFont="1" applyFill="1" applyBorder="1" applyAlignment="1">
      <alignment horizontal="left" vertical="center" wrapText="1"/>
    </xf>
    <xf numFmtId="0" fontId="2" fillId="7" borderId="38" xfId="0" applyFont="1" applyFill="1" applyBorder="1" applyAlignment="1">
      <alignment horizontal="left" vertical="center" wrapText="1"/>
    </xf>
    <xf numFmtId="0" fontId="6" fillId="6" borderId="38" xfId="0" applyFont="1" applyFill="1" applyBorder="1" applyAlignment="1">
      <alignment horizontal="left" vertical="center" wrapText="1"/>
    </xf>
    <xf numFmtId="0" fontId="6" fillId="8" borderId="38" xfId="0" applyFont="1" applyFill="1" applyBorder="1" applyAlignment="1">
      <alignment horizontal="left" vertical="center" wrapText="1"/>
    </xf>
    <xf numFmtId="0" fontId="6" fillId="7" borderId="39" xfId="0" applyFont="1" applyFill="1" applyBorder="1" applyAlignment="1">
      <alignment horizontal="left" vertical="center" wrapText="1"/>
    </xf>
    <xf numFmtId="0" fontId="6" fillId="7" borderId="18" xfId="0" applyFont="1" applyFill="1" applyBorder="1" applyAlignment="1">
      <alignment horizontal="left" vertical="center" wrapText="1"/>
    </xf>
    <xf numFmtId="0" fontId="9" fillId="0" borderId="0" xfId="0" applyFont="1" applyAlignment="1">
      <alignment vertical="center"/>
    </xf>
    <xf numFmtId="0" fontId="10" fillId="0" borderId="0" xfId="0" applyFont="1" applyAlignment="1">
      <alignment horizontal="left" vertical="center" indent="5"/>
    </xf>
    <xf numFmtId="0" fontId="8" fillId="0" borderId="0" xfId="0" applyFont="1" applyAlignment="1">
      <alignment vertical="center"/>
    </xf>
    <xf numFmtId="0" fontId="10" fillId="0" borderId="0" xfId="0" applyFont="1" applyAlignment="1">
      <alignment horizontal="left" vertical="center" indent="2"/>
    </xf>
    <xf numFmtId="0" fontId="0" fillId="0" borderId="14" xfId="0" applyFont="1" applyBorder="1" applyAlignment="1">
      <alignment horizontal="left" vertical="center" wrapText="1"/>
    </xf>
    <xf numFmtId="0" fontId="0" fillId="0" borderId="20" xfId="0" applyFont="1" applyBorder="1" applyAlignment="1">
      <alignment horizontal="left" vertical="center" wrapText="1"/>
    </xf>
    <xf numFmtId="0" fontId="7" fillId="4" borderId="44" xfId="0" applyFont="1" applyFill="1" applyBorder="1" applyAlignment="1">
      <alignment horizontal="center" vertical="center" wrapText="1"/>
    </xf>
    <xf numFmtId="0" fontId="7" fillId="4" borderId="45" xfId="0" applyFont="1" applyFill="1" applyBorder="1" applyAlignment="1">
      <alignment horizontal="center" vertical="center" wrapText="1"/>
    </xf>
    <xf numFmtId="0" fontId="7" fillId="4" borderId="46"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1" fontId="2" fillId="8" borderId="28" xfId="0" applyNumberFormat="1" applyFont="1" applyFill="1" applyBorder="1" applyAlignment="1">
      <alignment horizontal="center" vertical="center" wrapText="1"/>
    </xf>
    <xf numFmtId="1" fontId="2" fillId="8" borderId="29" xfId="0" applyNumberFormat="1" applyFont="1" applyFill="1" applyBorder="1" applyAlignment="1">
      <alignment horizontal="center" vertical="center" wrapText="1"/>
    </xf>
    <xf numFmtId="1" fontId="2" fillId="8" borderId="30" xfId="0" applyNumberFormat="1" applyFont="1" applyFill="1" applyBorder="1" applyAlignment="1">
      <alignment horizontal="center" vertical="center" wrapText="1"/>
    </xf>
    <xf numFmtId="1" fontId="2" fillId="6" borderId="28" xfId="0" applyNumberFormat="1" applyFont="1" applyFill="1" applyBorder="1" applyAlignment="1">
      <alignment horizontal="center" vertical="center" wrapText="1"/>
    </xf>
    <xf numFmtId="1" fontId="2" fillId="6" borderId="29" xfId="0" applyNumberFormat="1" applyFont="1" applyFill="1" applyBorder="1" applyAlignment="1">
      <alignment horizontal="center" vertical="center" wrapText="1"/>
    </xf>
    <xf numFmtId="1" fontId="2" fillId="6" borderId="30" xfId="0" applyNumberFormat="1" applyFont="1" applyFill="1" applyBorder="1" applyAlignment="1">
      <alignment horizontal="center" vertical="center" wrapText="1"/>
    </xf>
    <xf numFmtId="1" fontId="2" fillId="8" borderId="37" xfId="0" applyNumberFormat="1" applyFont="1" applyFill="1" applyBorder="1" applyAlignment="1">
      <alignment horizontal="center" vertical="center" wrapText="1"/>
    </xf>
    <xf numFmtId="1" fontId="2" fillId="8" borderId="38" xfId="0" applyNumberFormat="1" applyFont="1" applyFill="1" applyBorder="1" applyAlignment="1">
      <alignment horizontal="center" vertical="center" wrapText="1"/>
    </xf>
    <xf numFmtId="1" fontId="2" fillId="8" borderId="39" xfId="0" applyNumberFormat="1" applyFont="1" applyFill="1" applyBorder="1" applyAlignment="1">
      <alignment horizontal="center" vertical="center" wrapText="1"/>
    </xf>
    <xf numFmtId="164" fontId="2" fillId="6" borderId="31" xfId="0" applyNumberFormat="1" applyFont="1" applyFill="1" applyBorder="1" applyAlignment="1">
      <alignment horizontal="center" vertical="center" wrapText="1"/>
    </xf>
    <xf numFmtId="164" fontId="2" fillId="6" borderId="32" xfId="0" applyNumberFormat="1" applyFont="1" applyFill="1" applyBorder="1" applyAlignment="1">
      <alignment horizontal="center" vertical="center" wrapText="1"/>
    </xf>
    <xf numFmtId="164" fontId="2" fillId="6" borderId="34" xfId="0" applyNumberFormat="1" applyFont="1" applyFill="1" applyBorder="1" applyAlignment="1">
      <alignment horizontal="center" vertical="center" wrapText="1"/>
    </xf>
    <xf numFmtId="1" fontId="2" fillId="7" borderId="28" xfId="0" applyNumberFormat="1" applyFont="1" applyFill="1" applyBorder="1" applyAlignment="1">
      <alignment horizontal="center" vertical="center" wrapText="1"/>
    </xf>
    <xf numFmtId="1" fontId="2" fillId="7" borderId="29" xfId="0" applyNumberFormat="1" applyFont="1" applyFill="1" applyBorder="1" applyAlignment="1">
      <alignment horizontal="center" vertical="center" wrapText="1"/>
    </xf>
    <xf numFmtId="1" fontId="2" fillId="7" borderId="30" xfId="0" applyNumberFormat="1" applyFont="1" applyFill="1" applyBorder="1" applyAlignment="1">
      <alignment horizontal="center" vertical="center" wrapText="1"/>
    </xf>
    <xf numFmtId="2" fontId="2" fillId="8" borderId="28" xfId="0" applyNumberFormat="1" applyFont="1" applyFill="1" applyBorder="1" applyAlignment="1">
      <alignment horizontal="center" vertical="center" wrapText="1"/>
    </xf>
    <xf numFmtId="2" fontId="2" fillId="8" borderId="29" xfId="0" applyNumberFormat="1" applyFont="1" applyFill="1" applyBorder="1" applyAlignment="1">
      <alignment horizontal="center" vertical="center" wrapText="1"/>
    </xf>
    <xf numFmtId="2" fontId="2" fillId="8" borderId="30" xfId="0" applyNumberFormat="1" applyFont="1" applyFill="1" applyBorder="1" applyAlignment="1">
      <alignment horizontal="center" vertical="center" wrapText="1"/>
    </xf>
    <xf numFmtId="2" fontId="2" fillId="6" borderId="28" xfId="0" applyNumberFormat="1" applyFont="1" applyFill="1" applyBorder="1" applyAlignment="1">
      <alignment horizontal="center" vertical="center" wrapText="1"/>
    </xf>
    <xf numFmtId="2" fontId="2" fillId="6" borderId="29" xfId="0" applyNumberFormat="1" applyFont="1" applyFill="1" applyBorder="1" applyAlignment="1">
      <alignment horizontal="center" vertical="center" wrapText="1"/>
    </xf>
    <xf numFmtId="2" fontId="2" fillId="6" borderId="30" xfId="0" applyNumberFormat="1" applyFont="1" applyFill="1" applyBorder="1" applyAlignment="1">
      <alignment horizontal="center" vertical="center" wrapText="1"/>
    </xf>
    <xf numFmtId="0" fontId="0" fillId="5" borderId="7"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2" fillId="4" borderId="8"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20" xfId="0" applyFont="1" applyFill="1" applyBorder="1" applyAlignment="1">
      <alignment horizontal="center" vertical="center" wrapText="1"/>
    </xf>
    <xf numFmtId="1" fontId="2" fillId="6" borderId="31" xfId="0" applyNumberFormat="1" applyFont="1" applyFill="1" applyBorder="1" applyAlignment="1">
      <alignment horizontal="center" vertical="center" wrapText="1"/>
    </xf>
    <xf numFmtId="1" fontId="2" fillId="6" borderId="34" xfId="0" applyNumberFormat="1" applyFont="1" applyFill="1" applyBorder="1" applyAlignment="1">
      <alignment horizontal="center" vertical="center" wrapText="1"/>
    </xf>
    <xf numFmtId="1" fontId="2" fillId="7" borderId="31" xfId="0" applyNumberFormat="1" applyFont="1" applyFill="1" applyBorder="1" applyAlignment="1">
      <alignment horizontal="center" vertical="center" wrapText="1"/>
    </xf>
    <xf numFmtId="1" fontId="2" fillId="7" borderId="32" xfId="0" applyNumberFormat="1" applyFont="1" applyFill="1" applyBorder="1" applyAlignment="1">
      <alignment horizontal="center" vertical="center" wrapText="1"/>
    </xf>
    <xf numFmtId="1" fontId="2" fillId="7" borderId="34" xfId="0" applyNumberFormat="1" applyFont="1" applyFill="1" applyBorder="1" applyAlignment="1">
      <alignment horizontal="center" vertical="center" wrapText="1"/>
    </xf>
    <xf numFmtId="0" fontId="3" fillId="5" borderId="8"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7" xfId="0" applyFont="1" applyFill="1" applyBorder="1" applyAlignment="1">
      <alignment horizontal="left" vertical="center" wrapText="1"/>
    </xf>
    <xf numFmtId="0" fontId="3" fillId="5" borderId="15" xfId="0" applyFont="1" applyFill="1" applyBorder="1" applyAlignment="1">
      <alignment horizontal="left" vertical="center" wrapText="1"/>
    </xf>
    <xf numFmtId="0" fontId="2" fillId="4" borderId="17"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9" xfId="0" applyFont="1" applyFill="1" applyBorder="1" applyAlignment="1">
      <alignment horizontal="center" vertical="center" textRotation="90" wrapText="1"/>
    </xf>
    <xf numFmtId="0" fontId="2" fillId="4" borderId="10" xfId="0" applyFont="1" applyFill="1" applyBorder="1" applyAlignment="1">
      <alignment horizontal="center" vertical="center" textRotation="90" wrapText="1"/>
    </xf>
    <xf numFmtId="0" fontId="2" fillId="4" borderId="40" xfId="0" applyFont="1" applyFill="1" applyBorder="1" applyAlignment="1">
      <alignment horizontal="center" vertical="center" textRotation="90" wrapText="1"/>
    </xf>
    <xf numFmtId="0" fontId="2" fillId="4" borderId="2" xfId="0" applyFont="1" applyFill="1" applyBorder="1" applyAlignment="1">
      <alignment horizontal="center" vertical="center" textRotation="90" wrapText="1"/>
    </xf>
    <xf numFmtId="0" fontId="2" fillId="4" borderId="1"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4" borderId="21" xfId="0" applyFont="1" applyFill="1" applyBorder="1" applyAlignment="1">
      <alignment horizontal="center" vertical="center" textRotation="90" wrapText="1"/>
    </xf>
    <xf numFmtId="0" fontId="2" fillId="4" borderId="35"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3</xdr:col>
      <xdr:colOff>161924</xdr:colOff>
      <xdr:row>5</xdr:row>
      <xdr:rowOff>0</xdr:rowOff>
    </xdr:from>
    <xdr:to>
      <xdr:col>39</xdr:col>
      <xdr:colOff>0</xdr:colOff>
      <xdr:row>28</xdr:row>
      <xdr:rowOff>0</xdr:rowOff>
    </xdr:to>
    <xdr:sp macro="" textlink="">
      <xdr:nvSpPr>
        <xdr:cNvPr id="2" name="Rechteck 1"/>
        <xdr:cNvSpPr/>
      </xdr:nvSpPr>
      <xdr:spPr>
        <a:xfrm>
          <a:off x="323849" y="323850"/>
          <a:ext cx="5667376" cy="3724275"/>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800">
            <a:latin typeface="Arial Narrow" panose="020B0606020202030204" pitchFamily="34" charset="0"/>
          </a:endParaRPr>
        </a:p>
      </xdr:txBody>
    </xdr:sp>
    <xdr:clientData/>
  </xdr:twoCellAnchor>
  <xdr:twoCellAnchor>
    <xdr:from>
      <xdr:col>17</xdr:col>
      <xdr:colOff>0</xdr:colOff>
      <xdr:row>16</xdr:row>
      <xdr:rowOff>0</xdr:rowOff>
    </xdr:from>
    <xdr:to>
      <xdr:col>22</xdr:col>
      <xdr:colOff>0</xdr:colOff>
      <xdr:row>27</xdr:row>
      <xdr:rowOff>114300</xdr:rowOff>
    </xdr:to>
    <xdr:sp macro="" textlink="">
      <xdr:nvSpPr>
        <xdr:cNvPr id="10" name="Rechteck 9"/>
        <xdr:cNvSpPr/>
      </xdr:nvSpPr>
      <xdr:spPr>
        <a:xfrm>
          <a:off x="2505075" y="2105025"/>
          <a:ext cx="809625" cy="1895475"/>
        </a:xfrm>
        <a:prstGeom prst="rect">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800">
              <a:solidFill>
                <a:sysClr val="windowText" lastClr="000000"/>
              </a:solidFill>
              <a:latin typeface="Arial Narrow" panose="020B0606020202030204" pitchFamily="34" charset="0"/>
            </a:rPr>
            <a:t>Shared hallway (unheated)</a:t>
          </a:r>
        </a:p>
      </xdr:txBody>
    </xdr:sp>
    <xdr:clientData/>
  </xdr:twoCellAnchor>
  <xdr:twoCellAnchor>
    <xdr:from>
      <xdr:col>4</xdr:col>
      <xdr:colOff>0</xdr:colOff>
      <xdr:row>30</xdr:row>
      <xdr:rowOff>98905</xdr:rowOff>
    </xdr:from>
    <xdr:to>
      <xdr:col>16</xdr:col>
      <xdr:colOff>85725</xdr:colOff>
      <xdr:row>30</xdr:row>
      <xdr:rowOff>98906</xdr:rowOff>
    </xdr:to>
    <xdr:cxnSp macro="">
      <xdr:nvCxnSpPr>
        <xdr:cNvPr id="12" name="Gerade Verbindung mit Pfeil 11"/>
        <xdr:cNvCxnSpPr/>
      </xdr:nvCxnSpPr>
      <xdr:spPr>
        <a:xfrm>
          <a:off x="662609" y="4571514"/>
          <a:ext cx="2139812" cy="1"/>
        </a:xfrm>
        <a:prstGeom prst="straightConnector1">
          <a:avLst/>
        </a:prstGeom>
        <a:ln w="3810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85725</xdr:colOff>
      <xdr:row>30</xdr:row>
      <xdr:rowOff>98906</xdr:rowOff>
    </xdr:from>
    <xdr:to>
      <xdr:col>22</xdr:col>
      <xdr:colOff>82826</xdr:colOff>
      <xdr:row>30</xdr:row>
      <xdr:rowOff>98906</xdr:rowOff>
    </xdr:to>
    <xdr:cxnSp macro="">
      <xdr:nvCxnSpPr>
        <xdr:cNvPr id="14" name="Gerade Verbindung mit Pfeil 13"/>
        <xdr:cNvCxnSpPr/>
      </xdr:nvCxnSpPr>
      <xdr:spPr>
        <a:xfrm>
          <a:off x="2802421" y="4571515"/>
          <a:ext cx="991014" cy="0"/>
        </a:xfrm>
        <a:prstGeom prst="straightConnector1">
          <a:avLst/>
        </a:prstGeom>
        <a:ln w="3810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82826</xdr:colOff>
      <xdr:row>30</xdr:row>
      <xdr:rowOff>98905</xdr:rowOff>
    </xdr:from>
    <xdr:to>
      <xdr:col>39</xdr:col>
      <xdr:colOff>0</xdr:colOff>
      <xdr:row>30</xdr:row>
      <xdr:rowOff>98906</xdr:rowOff>
    </xdr:to>
    <xdr:cxnSp macro="">
      <xdr:nvCxnSpPr>
        <xdr:cNvPr id="16" name="Gerade Verbindung mit Pfeil 15"/>
        <xdr:cNvCxnSpPr/>
      </xdr:nvCxnSpPr>
      <xdr:spPr>
        <a:xfrm>
          <a:off x="3793435" y="4571514"/>
          <a:ext cx="2733261" cy="1"/>
        </a:xfrm>
        <a:prstGeom prst="straightConnector1">
          <a:avLst/>
        </a:prstGeom>
        <a:ln w="3810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5</xdr:row>
      <xdr:rowOff>0</xdr:rowOff>
    </xdr:from>
    <xdr:to>
      <xdr:col>43</xdr:col>
      <xdr:colOff>0</xdr:colOff>
      <xdr:row>15</xdr:row>
      <xdr:rowOff>85725</xdr:rowOff>
    </xdr:to>
    <xdr:cxnSp macro="">
      <xdr:nvCxnSpPr>
        <xdr:cNvPr id="22" name="Gerade Verbindung mit Pfeil 21"/>
        <xdr:cNvCxnSpPr/>
      </xdr:nvCxnSpPr>
      <xdr:spPr>
        <a:xfrm>
          <a:off x="6715125" y="323850"/>
          <a:ext cx="0" cy="1704975"/>
        </a:xfrm>
        <a:prstGeom prst="straightConnector1">
          <a:avLst/>
        </a:prstGeom>
        <a:ln w="3810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15</xdr:row>
      <xdr:rowOff>85725</xdr:rowOff>
    </xdr:from>
    <xdr:to>
      <xdr:col>43</xdr:col>
      <xdr:colOff>0</xdr:colOff>
      <xdr:row>23</xdr:row>
      <xdr:rowOff>85725</xdr:rowOff>
    </xdr:to>
    <xdr:cxnSp macro="">
      <xdr:nvCxnSpPr>
        <xdr:cNvPr id="26" name="Gerade Verbindung mit Pfeil 25"/>
        <xdr:cNvCxnSpPr/>
      </xdr:nvCxnSpPr>
      <xdr:spPr>
        <a:xfrm>
          <a:off x="6715125" y="2028825"/>
          <a:ext cx="0" cy="1295400"/>
        </a:xfrm>
        <a:prstGeom prst="straightConnector1">
          <a:avLst/>
        </a:prstGeom>
        <a:ln w="3810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23</xdr:row>
      <xdr:rowOff>85725</xdr:rowOff>
    </xdr:from>
    <xdr:to>
      <xdr:col>43</xdr:col>
      <xdr:colOff>0</xdr:colOff>
      <xdr:row>28</xdr:row>
      <xdr:rowOff>0</xdr:rowOff>
    </xdr:to>
    <xdr:cxnSp macro="">
      <xdr:nvCxnSpPr>
        <xdr:cNvPr id="29" name="Gerade Verbindung mit Pfeil 28"/>
        <xdr:cNvCxnSpPr/>
      </xdr:nvCxnSpPr>
      <xdr:spPr>
        <a:xfrm>
          <a:off x="6715125" y="3324225"/>
          <a:ext cx="0" cy="723900"/>
        </a:xfrm>
        <a:prstGeom prst="straightConnector1">
          <a:avLst/>
        </a:prstGeom>
        <a:ln w="3810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9525</xdr:colOff>
      <xdr:row>30</xdr:row>
      <xdr:rowOff>0</xdr:rowOff>
    </xdr:from>
    <xdr:ext cx="352425" cy="190428"/>
    <xdr:sp macro="" textlink="">
      <xdr:nvSpPr>
        <xdr:cNvPr id="32" name="Rechteck 31"/>
        <xdr:cNvSpPr/>
      </xdr:nvSpPr>
      <xdr:spPr>
        <a:xfrm>
          <a:off x="1543050" y="4857750"/>
          <a:ext cx="352425" cy="190428"/>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nchorCtr="1">
          <a:spAutoFit/>
        </a:bodyPr>
        <a:lstStyle/>
        <a:p>
          <a:pPr algn="l"/>
          <a:r>
            <a:rPr lang="de-DE" sz="800">
              <a:latin typeface="Arial Narrow" panose="020B0606020202030204" pitchFamily="34" charset="0"/>
            </a:rPr>
            <a:t>5,0</a:t>
          </a:r>
        </a:p>
      </xdr:txBody>
    </xdr:sp>
    <xdr:clientData/>
  </xdr:oneCellAnchor>
  <xdr:oneCellAnchor>
    <xdr:from>
      <xdr:col>18</xdr:col>
      <xdr:colOff>38100</xdr:colOff>
      <xdr:row>30</xdr:row>
      <xdr:rowOff>0</xdr:rowOff>
    </xdr:from>
    <xdr:ext cx="352425" cy="190428"/>
    <xdr:sp macro="" textlink="">
      <xdr:nvSpPr>
        <xdr:cNvPr id="33" name="Rechteck 32"/>
        <xdr:cNvSpPr/>
      </xdr:nvSpPr>
      <xdr:spPr>
        <a:xfrm>
          <a:off x="3028950" y="4857750"/>
          <a:ext cx="352425" cy="190428"/>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nchorCtr="1">
          <a:spAutoFit/>
        </a:bodyPr>
        <a:lstStyle/>
        <a:p>
          <a:pPr algn="l"/>
          <a:r>
            <a:rPr lang="de-DE" sz="800">
              <a:latin typeface="Arial Narrow" panose="020B0606020202030204" pitchFamily="34" charset="0"/>
            </a:rPr>
            <a:t>2,0</a:t>
          </a:r>
        </a:p>
      </xdr:txBody>
    </xdr:sp>
    <xdr:clientData/>
  </xdr:oneCellAnchor>
  <xdr:oneCellAnchor>
    <xdr:from>
      <xdr:col>29</xdr:col>
      <xdr:colOff>142875</xdr:colOff>
      <xdr:row>30</xdr:row>
      <xdr:rowOff>0</xdr:rowOff>
    </xdr:from>
    <xdr:ext cx="352425" cy="190428"/>
    <xdr:sp macro="" textlink="">
      <xdr:nvSpPr>
        <xdr:cNvPr id="34" name="Rechteck 33"/>
        <xdr:cNvSpPr/>
      </xdr:nvSpPr>
      <xdr:spPr>
        <a:xfrm>
          <a:off x="4914900" y="4857750"/>
          <a:ext cx="352425" cy="190428"/>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nchorCtr="1">
          <a:spAutoFit/>
        </a:bodyPr>
        <a:lstStyle/>
        <a:p>
          <a:pPr algn="l"/>
          <a:r>
            <a:rPr lang="de-DE" sz="800">
              <a:latin typeface="Arial Narrow" panose="020B0606020202030204" pitchFamily="34" charset="0"/>
            </a:rPr>
            <a:t>6,0</a:t>
          </a:r>
        </a:p>
      </xdr:txBody>
    </xdr:sp>
    <xdr:clientData/>
  </xdr:oneCellAnchor>
  <xdr:oneCellAnchor>
    <xdr:from>
      <xdr:col>42</xdr:col>
      <xdr:colOff>9525</xdr:colOff>
      <xdr:row>25</xdr:row>
      <xdr:rowOff>0</xdr:rowOff>
    </xdr:from>
    <xdr:ext cx="352425" cy="190428"/>
    <xdr:sp macro="" textlink="">
      <xdr:nvSpPr>
        <xdr:cNvPr id="35" name="Rechteck 34"/>
        <xdr:cNvSpPr/>
      </xdr:nvSpPr>
      <xdr:spPr>
        <a:xfrm>
          <a:off x="6886575" y="4048125"/>
          <a:ext cx="352425" cy="190428"/>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nchorCtr="1">
          <a:spAutoFit/>
        </a:bodyPr>
        <a:lstStyle/>
        <a:p>
          <a:pPr algn="l"/>
          <a:r>
            <a:rPr lang="de-DE" sz="800">
              <a:latin typeface="Arial Narrow" panose="020B0606020202030204" pitchFamily="34" charset="0"/>
            </a:rPr>
            <a:t>1,5</a:t>
          </a:r>
        </a:p>
      </xdr:txBody>
    </xdr:sp>
    <xdr:clientData/>
  </xdr:oneCellAnchor>
  <xdr:oneCellAnchor>
    <xdr:from>
      <xdr:col>42</xdr:col>
      <xdr:colOff>9525</xdr:colOff>
      <xdr:row>19</xdr:row>
      <xdr:rowOff>0</xdr:rowOff>
    </xdr:from>
    <xdr:ext cx="352425" cy="190428"/>
    <xdr:sp macro="" textlink="">
      <xdr:nvSpPr>
        <xdr:cNvPr id="36" name="Rechteck 35"/>
        <xdr:cNvSpPr/>
      </xdr:nvSpPr>
      <xdr:spPr>
        <a:xfrm>
          <a:off x="6886575" y="3076575"/>
          <a:ext cx="352425" cy="190428"/>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nchorCtr="1">
          <a:spAutoFit/>
        </a:bodyPr>
        <a:lstStyle/>
        <a:p>
          <a:pPr algn="l"/>
          <a:r>
            <a:rPr lang="de-DE" sz="800">
              <a:latin typeface="Arial Narrow" panose="020B0606020202030204" pitchFamily="34" charset="0"/>
            </a:rPr>
            <a:t>3,5</a:t>
          </a:r>
        </a:p>
      </xdr:txBody>
    </xdr:sp>
    <xdr:clientData/>
  </xdr:oneCellAnchor>
  <xdr:oneCellAnchor>
    <xdr:from>
      <xdr:col>42</xdr:col>
      <xdr:colOff>9525</xdr:colOff>
      <xdr:row>9</xdr:row>
      <xdr:rowOff>95250</xdr:rowOff>
    </xdr:from>
    <xdr:ext cx="352425" cy="190428"/>
    <xdr:sp macro="" textlink="">
      <xdr:nvSpPr>
        <xdr:cNvPr id="37" name="Rechteck 36"/>
        <xdr:cNvSpPr/>
      </xdr:nvSpPr>
      <xdr:spPr>
        <a:xfrm>
          <a:off x="6886575" y="1552575"/>
          <a:ext cx="352425" cy="190428"/>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nchorCtr="1">
          <a:spAutoFit/>
        </a:bodyPr>
        <a:lstStyle/>
        <a:p>
          <a:pPr algn="l"/>
          <a:r>
            <a:rPr lang="de-DE" sz="800">
              <a:latin typeface="Arial Narrow" panose="020B0606020202030204" pitchFamily="34" charset="0"/>
            </a:rPr>
            <a:t>4,0</a:t>
          </a:r>
        </a:p>
      </xdr:txBody>
    </xdr:sp>
    <xdr:clientData/>
  </xdr:oneCellAnchor>
  <xdr:twoCellAnchor>
    <xdr:from>
      <xdr:col>6</xdr:col>
      <xdr:colOff>0</xdr:colOff>
      <xdr:row>26</xdr:row>
      <xdr:rowOff>0</xdr:rowOff>
    </xdr:from>
    <xdr:to>
      <xdr:col>15</xdr:col>
      <xdr:colOff>0</xdr:colOff>
      <xdr:row>27</xdr:row>
      <xdr:rowOff>114301</xdr:rowOff>
    </xdr:to>
    <xdr:sp macro="" textlink="">
      <xdr:nvSpPr>
        <xdr:cNvPr id="38" name="Rechteck 37"/>
        <xdr:cNvSpPr/>
      </xdr:nvSpPr>
      <xdr:spPr>
        <a:xfrm>
          <a:off x="990600" y="4210050"/>
          <a:ext cx="1514475" cy="276226"/>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800" b="0" i="0" u="none" strike="noStrike">
            <a:solidFill>
              <a:srgbClr val="000000"/>
            </a:solidFill>
            <a:latin typeface="Arial Narrow" panose="020B0606020202030204" pitchFamily="34" charset="0"/>
          </a:endParaRPr>
        </a:p>
      </xdr:txBody>
    </xdr:sp>
    <xdr:clientData/>
  </xdr:twoCellAnchor>
  <xdr:twoCellAnchor>
    <xdr:from>
      <xdr:col>4</xdr:col>
      <xdr:colOff>47624</xdr:colOff>
      <xdr:row>19</xdr:row>
      <xdr:rowOff>10211</xdr:rowOff>
    </xdr:from>
    <xdr:to>
      <xdr:col>5</xdr:col>
      <xdr:colOff>180974</xdr:colOff>
      <xdr:row>23</xdr:row>
      <xdr:rowOff>3</xdr:rowOff>
    </xdr:to>
    <xdr:sp macro="" textlink="">
      <xdr:nvSpPr>
        <xdr:cNvPr id="40" name="Rechteck 39"/>
        <xdr:cNvSpPr/>
      </xdr:nvSpPr>
      <xdr:spPr>
        <a:xfrm rot="5400000">
          <a:off x="524216" y="3257894"/>
          <a:ext cx="637492" cy="29527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800" b="0" i="0" u="none" strike="noStrike">
            <a:solidFill>
              <a:srgbClr val="000000"/>
            </a:solidFill>
            <a:latin typeface="Arial Narrow" panose="020B0606020202030204" pitchFamily="34" charset="0"/>
          </a:endParaRPr>
        </a:p>
      </xdr:txBody>
    </xdr:sp>
    <xdr:clientData/>
  </xdr:twoCellAnchor>
  <xdr:twoCellAnchor>
    <xdr:from>
      <xdr:col>4</xdr:col>
      <xdr:colOff>47624</xdr:colOff>
      <xdr:row>9</xdr:row>
      <xdr:rowOff>2</xdr:rowOff>
    </xdr:from>
    <xdr:to>
      <xdr:col>5</xdr:col>
      <xdr:colOff>180974</xdr:colOff>
      <xdr:row>13</xdr:row>
      <xdr:rowOff>0</xdr:rowOff>
    </xdr:to>
    <xdr:sp macro="" textlink="">
      <xdr:nvSpPr>
        <xdr:cNvPr id="42" name="Rechteck 41"/>
        <xdr:cNvSpPr/>
      </xdr:nvSpPr>
      <xdr:spPr>
        <a:xfrm rot="5400000">
          <a:off x="519113" y="1633538"/>
          <a:ext cx="647698" cy="29527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800" b="0" i="0" u="none" strike="noStrike">
            <a:solidFill>
              <a:srgbClr val="000000"/>
            </a:solidFill>
            <a:latin typeface="Arial Narrow" panose="020B0606020202030204" pitchFamily="34" charset="0"/>
          </a:endParaRPr>
        </a:p>
      </xdr:txBody>
    </xdr:sp>
    <xdr:clientData/>
  </xdr:twoCellAnchor>
  <xdr:twoCellAnchor>
    <xdr:from>
      <xdr:col>34</xdr:col>
      <xdr:colOff>0</xdr:colOff>
      <xdr:row>22</xdr:row>
      <xdr:rowOff>0</xdr:rowOff>
    </xdr:from>
    <xdr:to>
      <xdr:col>38</xdr:col>
      <xdr:colOff>0</xdr:colOff>
      <xdr:row>23</xdr:row>
      <xdr:rowOff>114300</xdr:rowOff>
    </xdr:to>
    <xdr:sp macro="" textlink="">
      <xdr:nvSpPr>
        <xdr:cNvPr id="43" name="Rechteck 42"/>
        <xdr:cNvSpPr/>
      </xdr:nvSpPr>
      <xdr:spPr>
        <a:xfrm>
          <a:off x="5581650" y="3562350"/>
          <a:ext cx="647700" cy="276225"/>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800" b="0" i="0" u="none" strike="noStrike">
            <a:solidFill>
              <a:srgbClr val="000000"/>
            </a:solidFill>
            <a:latin typeface="Arial Narrow" panose="020B0606020202030204" pitchFamily="34" charset="0"/>
          </a:endParaRPr>
        </a:p>
      </xdr:txBody>
    </xdr:sp>
    <xdr:clientData/>
  </xdr:twoCellAnchor>
  <xdr:twoCellAnchor>
    <xdr:from>
      <xdr:col>37</xdr:col>
      <xdr:colOff>0</xdr:colOff>
      <xdr:row>9</xdr:row>
      <xdr:rowOff>0</xdr:rowOff>
    </xdr:from>
    <xdr:to>
      <xdr:col>38</xdr:col>
      <xdr:colOff>123825</xdr:colOff>
      <xdr:row>13</xdr:row>
      <xdr:rowOff>2</xdr:rowOff>
    </xdr:to>
    <xdr:sp macro="" textlink="">
      <xdr:nvSpPr>
        <xdr:cNvPr id="44" name="Rechteck 43"/>
        <xdr:cNvSpPr/>
      </xdr:nvSpPr>
      <xdr:spPr>
        <a:xfrm rot="5400000">
          <a:off x="5886449" y="1638301"/>
          <a:ext cx="647702" cy="28575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800" b="0" i="0" u="none" strike="noStrike">
            <a:solidFill>
              <a:srgbClr val="000000"/>
            </a:solidFill>
            <a:latin typeface="Arial Narrow" panose="020B0606020202030204" pitchFamily="34" charset="0"/>
          </a:endParaRPr>
        </a:p>
      </xdr:txBody>
    </xdr:sp>
    <xdr:clientData/>
  </xdr:twoCellAnchor>
  <xdr:twoCellAnchor>
    <xdr:from>
      <xdr:col>40</xdr:col>
      <xdr:colOff>0</xdr:colOff>
      <xdr:row>9</xdr:row>
      <xdr:rowOff>0</xdr:rowOff>
    </xdr:from>
    <xdr:to>
      <xdr:col>40</xdr:col>
      <xdr:colOff>0</xdr:colOff>
      <xdr:row>13</xdr:row>
      <xdr:rowOff>0</xdr:rowOff>
    </xdr:to>
    <xdr:cxnSp macro="">
      <xdr:nvCxnSpPr>
        <xdr:cNvPr id="45" name="Gerade Verbindung mit Pfeil 44"/>
        <xdr:cNvCxnSpPr/>
      </xdr:nvCxnSpPr>
      <xdr:spPr>
        <a:xfrm>
          <a:off x="6229350" y="971550"/>
          <a:ext cx="0" cy="647700"/>
        </a:xfrm>
        <a:prstGeom prst="straightConnector1">
          <a:avLst/>
        </a:prstGeom>
        <a:ln w="3810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19050</xdr:colOff>
      <xdr:row>10</xdr:row>
      <xdr:rowOff>61947</xdr:rowOff>
    </xdr:from>
    <xdr:ext cx="361949" cy="190428"/>
    <xdr:sp macro="" textlink="">
      <xdr:nvSpPr>
        <xdr:cNvPr id="47" name="Rechteck 46"/>
        <xdr:cNvSpPr/>
      </xdr:nvSpPr>
      <xdr:spPr>
        <a:xfrm>
          <a:off x="6410325" y="1681197"/>
          <a:ext cx="361949" cy="190428"/>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nchorCtr="1">
          <a:spAutoFit/>
        </a:bodyPr>
        <a:lstStyle/>
        <a:p>
          <a:pPr algn="l"/>
          <a:r>
            <a:rPr lang="de-DE" sz="800">
              <a:latin typeface="Arial Narrow" panose="020B0606020202030204" pitchFamily="34" charset="0"/>
            </a:rPr>
            <a:t>1,5 x 1,6</a:t>
          </a:r>
        </a:p>
      </xdr:txBody>
    </xdr:sp>
    <xdr:clientData/>
  </xdr:oneCellAnchor>
  <xdr:twoCellAnchor>
    <xdr:from>
      <xdr:col>3</xdr:col>
      <xdr:colOff>0</xdr:colOff>
      <xdr:row>9</xdr:row>
      <xdr:rowOff>0</xdr:rowOff>
    </xdr:from>
    <xdr:to>
      <xdr:col>3</xdr:col>
      <xdr:colOff>0</xdr:colOff>
      <xdr:row>13</xdr:row>
      <xdr:rowOff>0</xdr:rowOff>
    </xdr:to>
    <xdr:cxnSp macro="">
      <xdr:nvCxnSpPr>
        <xdr:cNvPr id="49" name="Gerade Verbindung mit Pfeil 48"/>
        <xdr:cNvCxnSpPr/>
      </xdr:nvCxnSpPr>
      <xdr:spPr>
        <a:xfrm>
          <a:off x="485775" y="971550"/>
          <a:ext cx="0" cy="647700"/>
        </a:xfrm>
        <a:prstGeom prst="straightConnector1">
          <a:avLst/>
        </a:prstGeom>
        <a:ln w="3810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104775</xdr:colOff>
      <xdr:row>10</xdr:row>
      <xdr:rowOff>71472</xdr:rowOff>
    </xdr:from>
    <xdr:ext cx="361949" cy="190428"/>
    <xdr:sp macro="" textlink="">
      <xdr:nvSpPr>
        <xdr:cNvPr id="50" name="Rechteck 49"/>
        <xdr:cNvSpPr/>
      </xdr:nvSpPr>
      <xdr:spPr>
        <a:xfrm>
          <a:off x="266700" y="1690722"/>
          <a:ext cx="361949" cy="190428"/>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nchorCtr="1">
          <a:spAutoFit/>
        </a:bodyPr>
        <a:lstStyle/>
        <a:p>
          <a:pPr algn="l"/>
          <a:r>
            <a:rPr lang="de-DE" sz="800">
              <a:latin typeface="Arial Narrow" panose="020B0606020202030204" pitchFamily="34" charset="0"/>
            </a:rPr>
            <a:t>1,5 x 1,6</a:t>
          </a:r>
        </a:p>
      </xdr:txBody>
    </xdr:sp>
    <xdr:clientData/>
  </xdr:oneCellAnchor>
  <xdr:twoCellAnchor>
    <xdr:from>
      <xdr:col>3</xdr:col>
      <xdr:colOff>0</xdr:colOff>
      <xdr:row>19</xdr:row>
      <xdr:rowOff>0</xdr:rowOff>
    </xdr:from>
    <xdr:to>
      <xdr:col>3</xdr:col>
      <xdr:colOff>0</xdr:colOff>
      <xdr:row>23</xdr:row>
      <xdr:rowOff>0</xdr:rowOff>
    </xdr:to>
    <xdr:cxnSp macro="">
      <xdr:nvCxnSpPr>
        <xdr:cNvPr id="51" name="Gerade Verbindung mit Pfeil 50"/>
        <xdr:cNvCxnSpPr/>
      </xdr:nvCxnSpPr>
      <xdr:spPr>
        <a:xfrm>
          <a:off x="485775" y="2590800"/>
          <a:ext cx="0" cy="647700"/>
        </a:xfrm>
        <a:prstGeom prst="straightConnector1">
          <a:avLst/>
        </a:prstGeom>
        <a:ln w="3810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104775</xdr:colOff>
      <xdr:row>20</xdr:row>
      <xdr:rowOff>71472</xdr:rowOff>
    </xdr:from>
    <xdr:ext cx="361949" cy="190428"/>
    <xdr:sp macro="" textlink="">
      <xdr:nvSpPr>
        <xdr:cNvPr id="52" name="Rechteck 51"/>
        <xdr:cNvSpPr/>
      </xdr:nvSpPr>
      <xdr:spPr>
        <a:xfrm>
          <a:off x="266700" y="3309972"/>
          <a:ext cx="361949" cy="190428"/>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nchorCtr="1">
          <a:spAutoFit/>
        </a:bodyPr>
        <a:lstStyle/>
        <a:p>
          <a:pPr algn="l"/>
          <a:r>
            <a:rPr lang="de-DE" sz="800">
              <a:latin typeface="Arial Narrow" panose="020B0606020202030204" pitchFamily="34" charset="0"/>
            </a:rPr>
            <a:t>1,5 x 1,6</a:t>
          </a:r>
        </a:p>
      </xdr:txBody>
    </xdr:sp>
    <xdr:clientData/>
  </xdr:oneCellAnchor>
  <xdr:twoCellAnchor>
    <xdr:from>
      <xdr:col>6</xdr:col>
      <xdr:colOff>0</xdr:colOff>
      <xdr:row>29</xdr:row>
      <xdr:rowOff>0</xdr:rowOff>
    </xdr:from>
    <xdr:to>
      <xdr:col>15</xdr:col>
      <xdr:colOff>0</xdr:colOff>
      <xdr:row>29</xdr:row>
      <xdr:rowOff>0</xdr:rowOff>
    </xdr:to>
    <xdr:cxnSp macro="">
      <xdr:nvCxnSpPr>
        <xdr:cNvPr id="39" name="Gerade Verbindung mit Pfeil 38"/>
        <xdr:cNvCxnSpPr/>
      </xdr:nvCxnSpPr>
      <xdr:spPr>
        <a:xfrm>
          <a:off x="990600" y="4210050"/>
          <a:ext cx="1514475" cy="0"/>
        </a:xfrm>
        <a:prstGeom prst="straightConnector1">
          <a:avLst/>
        </a:prstGeom>
        <a:ln w="3810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5954</xdr:colOff>
      <xdr:row>28</xdr:row>
      <xdr:rowOff>57222</xdr:rowOff>
    </xdr:from>
    <xdr:ext cx="397668" cy="190428"/>
    <xdr:sp macro="" textlink="">
      <xdr:nvSpPr>
        <xdr:cNvPr id="41" name="Rechteck 40"/>
        <xdr:cNvSpPr/>
      </xdr:nvSpPr>
      <xdr:spPr>
        <a:xfrm>
          <a:off x="1539479" y="4591122"/>
          <a:ext cx="397668" cy="190428"/>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36000" rIns="0" bIns="36000" rtlCol="0" anchor="ctr" anchorCtr="1">
          <a:spAutoFit/>
        </a:bodyPr>
        <a:lstStyle/>
        <a:p>
          <a:pPr algn="l"/>
          <a:r>
            <a:rPr lang="de-DE" sz="800">
              <a:latin typeface="Arial Narrow" panose="020B0606020202030204" pitchFamily="34" charset="0"/>
            </a:rPr>
            <a:t>3,8</a:t>
          </a:r>
          <a:r>
            <a:rPr lang="de-DE" sz="800" baseline="0">
              <a:latin typeface="Arial Narrow" panose="020B0606020202030204" pitchFamily="34" charset="0"/>
            </a:rPr>
            <a:t> x 2,1</a:t>
          </a:r>
          <a:endParaRPr lang="de-DE" sz="800">
            <a:latin typeface="Arial Narrow" panose="020B0606020202030204" pitchFamily="34" charset="0"/>
          </a:endParaRPr>
        </a:p>
      </xdr:txBody>
    </xdr:sp>
    <xdr:clientData/>
  </xdr:oneCellAnchor>
  <xdr:twoCellAnchor>
    <xdr:from>
      <xdr:col>34</xdr:col>
      <xdr:colOff>0</xdr:colOff>
      <xdr:row>29</xdr:row>
      <xdr:rowOff>0</xdr:rowOff>
    </xdr:from>
    <xdr:to>
      <xdr:col>37</xdr:col>
      <xdr:colOff>165652</xdr:colOff>
      <xdr:row>29</xdr:row>
      <xdr:rowOff>1</xdr:rowOff>
    </xdr:to>
    <xdr:cxnSp macro="">
      <xdr:nvCxnSpPr>
        <xdr:cNvPr id="46" name="Gerade Verbindung mit Pfeil 45"/>
        <xdr:cNvCxnSpPr/>
      </xdr:nvCxnSpPr>
      <xdr:spPr>
        <a:xfrm>
          <a:off x="5698435" y="4306957"/>
          <a:ext cx="662608" cy="1"/>
        </a:xfrm>
        <a:prstGeom prst="straightConnector1">
          <a:avLst/>
        </a:prstGeom>
        <a:ln w="3810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35</xdr:col>
      <xdr:colOff>25256</xdr:colOff>
      <xdr:row>28</xdr:row>
      <xdr:rowOff>44238</xdr:rowOff>
    </xdr:from>
    <xdr:ext cx="289484" cy="235449"/>
    <xdr:sp macro="" textlink="">
      <xdr:nvSpPr>
        <xdr:cNvPr id="48" name="Rechteck 47"/>
        <xdr:cNvSpPr/>
      </xdr:nvSpPr>
      <xdr:spPr>
        <a:xfrm>
          <a:off x="5768831" y="4578138"/>
          <a:ext cx="289484" cy="235449"/>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de-DE" sz="800">
              <a:latin typeface="Arial Narrow" panose="020B0606020202030204" pitchFamily="34" charset="0"/>
            </a:rPr>
            <a:t>1,5 </a:t>
          </a:r>
          <a:r>
            <a:rPr lang="de-DE" sz="800" baseline="0">
              <a:latin typeface="Arial Narrow" panose="020B0606020202030204" pitchFamily="34" charset="0"/>
            </a:rPr>
            <a:t>x 2,1</a:t>
          </a:r>
          <a:endParaRPr lang="de-DE" sz="800">
            <a:latin typeface="Arial Narrow" panose="020B0606020202030204" pitchFamily="34" charset="0"/>
          </a:endParaRPr>
        </a:p>
      </xdr:txBody>
    </xdr:sp>
    <xdr:clientData/>
  </xdr:oneCellAnchor>
  <xdr:oneCellAnchor>
    <xdr:from>
      <xdr:col>4</xdr:col>
      <xdr:colOff>98563</xdr:colOff>
      <xdr:row>5</xdr:row>
      <xdr:rowOff>3729</xdr:rowOff>
    </xdr:from>
    <xdr:ext cx="2892288" cy="158196"/>
    <xdr:sp macro="" textlink="">
      <xdr:nvSpPr>
        <xdr:cNvPr id="53" name="Rechteck 52"/>
        <xdr:cNvSpPr/>
      </xdr:nvSpPr>
      <xdr:spPr>
        <a:xfrm>
          <a:off x="746263" y="813354"/>
          <a:ext cx="2892288" cy="1581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noAutofit/>
        </a:bodyPr>
        <a:lstStyle/>
        <a:p>
          <a:pPr algn="l"/>
          <a:r>
            <a:rPr lang="de-DE" sz="800" b="1">
              <a:solidFill>
                <a:schemeClr val="bg1"/>
              </a:solidFill>
              <a:latin typeface="Arial Narrow" panose="020B0606020202030204" pitchFamily="34" charset="0"/>
            </a:rPr>
            <a:t>Apartment 1, regularly occupied</a:t>
          </a:r>
        </a:p>
      </xdr:txBody>
    </xdr:sp>
    <xdr:clientData/>
  </xdr:oneCellAnchor>
  <xdr:oneCellAnchor>
    <xdr:from>
      <xdr:col>23</xdr:col>
      <xdr:colOff>26090</xdr:colOff>
      <xdr:row>5</xdr:row>
      <xdr:rowOff>3729</xdr:rowOff>
    </xdr:from>
    <xdr:ext cx="2402786" cy="158196"/>
    <xdr:sp macro="" textlink="">
      <xdr:nvSpPr>
        <xdr:cNvPr id="54" name="Rechteck 53"/>
        <xdr:cNvSpPr/>
      </xdr:nvSpPr>
      <xdr:spPr>
        <a:xfrm>
          <a:off x="3826565" y="813354"/>
          <a:ext cx="2402786" cy="1581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noAutofit/>
        </a:bodyPr>
        <a:lstStyle/>
        <a:p>
          <a:pPr algn="l"/>
          <a:r>
            <a:rPr lang="de-DE" sz="800" b="1">
              <a:solidFill>
                <a:schemeClr val="bg1"/>
              </a:solidFill>
              <a:latin typeface="Arial Narrow" panose="020B0606020202030204" pitchFamily="34" charset="0"/>
            </a:rPr>
            <a:t>Apartment 2, regularly occupied</a:t>
          </a:r>
        </a:p>
      </xdr:txBody>
    </xdr:sp>
    <xdr:clientData/>
  </xdr:oneCellAnchor>
  <xdr:twoCellAnchor>
    <xdr:from>
      <xdr:col>1</xdr:col>
      <xdr:colOff>8283</xdr:colOff>
      <xdr:row>1</xdr:row>
      <xdr:rowOff>41413</xdr:rowOff>
    </xdr:from>
    <xdr:to>
      <xdr:col>4</xdr:col>
      <xdr:colOff>8283</xdr:colOff>
      <xdr:row>4</xdr:row>
      <xdr:rowOff>149088</xdr:rowOff>
    </xdr:to>
    <xdr:grpSp>
      <xdr:nvGrpSpPr>
        <xdr:cNvPr id="15" name="Gruppieren 14"/>
        <xdr:cNvGrpSpPr/>
      </xdr:nvGrpSpPr>
      <xdr:grpSpPr>
        <a:xfrm>
          <a:off x="173383" y="174763"/>
          <a:ext cx="495300" cy="495025"/>
          <a:chOff x="3039718" y="240195"/>
          <a:chExt cx="496957" cy="604632"/>
        </a:xfrm>
      </xdr:grpSpPr>
      <xdr:sp macro="" textlink="">
        <xdr:nvSpPr>
          <xdr:cNvPr id="9" name="Kreuz 8"/>
          <xdr:cNvSpPr/>
        </xdr:nvSpPr>
        <xdr:spPr>
          <a:xfrm>
            <a:off x="3039718" y="347870"/>
            <a:ext cx="496957" cy="496957"/>
          </a:xfrm>
          <a:prstGeom prst="plus">
            <a:avLst>
              <a:gd name="adj" fmla="val 43333"/>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800"/>
          </a:p>
        </xdr:txBody>
      </xdr:sp>
      <xdr:sp macro="" textlink="">
        <xdr:nvSpPr>
          <xdr:cNvPr id="11" name="Gleichschenkliges Dreieck 10"/>
          <xdr:cNvSpPr/>
        </xdr:nvSpPr>
        <xdr:spPr>
          <a:xfrm>
            <a:off x="3205370" y="256761"/>
            <a:ext cx="165652" cy="165652"/>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800"/>
          </a:p>
        </xdr:txBody>
      </xdr:sp>
      <xdr:sp macro="" textlink="">
        <xdr:nvSpPr>
          <xdr:cNvPr id="55" name="Rechteck 54"/>
          <xdr:cNvSpPr/>
        </xdr:nvSpPr>
        <xdr:spPr>
          <a:xfrm>
            <a:off x="3304761" y="240195"/>
            <a:ext cx="165653" cy="1656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noAutofit/>
          </a:bodyPr>
          <a:lstStyle/>
          <a:p>
            <a:pPr algn="l"/>
            <a:r>
              <a:rPr lang="de-DE" sz="800" b="1">
                <a:solidFill>
                  <a:sysClr val="windowText" lastClr="000000"/>
                </a:solidFill>
                <a:latin typeface="Arial Narrow" panose="020B0606020202030204" pitchFamily="34" charset="0"/>
              </a:rPr>
              <a:t>N</a:t>
            </a:r>
          </a:p>
        </xdr:txBody>
      </xdr:sp>
    </xdr:grpSp>
    <xdr:clientData/>
  </xdr:twoCellAnchor>
  <xdr:twoCellAnchor>
    <xdr:from>
      <xdr:col>29</xdr:col>
      <xdr:colOff>0</xdr:colOff>
      <xdr:row>22</xdr:row>
      <xdr:rowOff>0</xdr:rowOff>
    </xdr:from>
    <xdr:to>
      <xdr:col>33</xdr:col>
      <xdr:colOff>0</xdr:colOff>
      <xdr:row>23</xdr:row>
      <xdr:rowOff>114300</xdr:rowOff>
    </xdr:to>
    <xdr:sp macro="" textlink="">
      <xdr:nvSpPr>
        <xdr:cNvPr id="56" name="Rechteck 55"/>
        <xdr:cNvSpPr/>
      </xdr:nvSpPr>
      <xdr:spPr>
        <a:xfrm>
          <a:off x="4772025" y="3562350"/>
          <a:ext cx="647700" cy="276225"/>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800" b="0" i="0" u="none" strike="noStrike">
            <a:solidFill>
              <a:srgbClr val="000000"/>
            </a:solidFill>
            <a:latin typeface="Arial Narrow" panose="020B0606020202030204" pitchFamily="34" charset="0"/>
          </a:endParaRPr>
        </a:p>
      </xdr:txBody>
    </xdr:sp>
    <xdr:clientData/>
  </xdr:twoCellAnchor>
  <xdr:twoCellAnchor>
    <xdr:from>
      <xdr:col>29</xdr:col>
      <xdr:colOff>1</xdr:colOff>
      <xdr:row>28</xdr:row>
      <xdr:rowOff>165651</xdr:rowOff>
    </xdr:from>
    <xdr:to>
      <xdr:col>33</xdr:col>
      <xdr:colOff>0</xdr:colOff>
      <xdr:row>29</xdr:row>
      <xdr:rowOff>0</xdr:rowOff>
    </xdr:to>
    <xdr:cxnSp macro="">
      <xdr:nvCxnSpPr>
        <xdr:cNvPr id="57" name="Gerade Verbindung mit Pfeil 56"/>
        <xdr:cNvCxnSpPr/>
      </xdr:nvCxnSpPr>
      <xdr:spPr>
        <a:xfrm>
          <a:off x="4870175" y="4803912"/>
          <a:ext cx="662608" cy="1"/>
        </a:xfrm>
        <a:prstGeom prst="straightConnector1">
          <a:avLst/>
        </a:prstGeom>
        <a:ln w="3810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21772</xdr:colOff>
      <xdr:row>28</xdr:row>
      <xdr:rowOff>44236</xdr:rowOff>
    </xdr:from>
    <xdr:ext cx="301186" cy="235449"/>
    <xdr:sp macro="" textlink="">
      <xdr:nvSpPr>
        <xdr:cNvPr id="58" name="Rechteck 57"/>
        <xdr:cNvSpPr/>
      </xdr:nvSpPr>
      <xdr:spPr>
        <a:xfrm>
          <a:off x="4955722" y="4578136"/>
          <a:ext cx="301186" cy="235449"/>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de-DE" sz="800">
              <a:latin typeface="Arial Narrow" panose="020B0606020202030204" pitchFamily="34" charset="0"/>
            </a:rPr>
            <a:t>1,5 </a:t>
          </a:r>
          <a:r>
            <a:rPr lang="de-DE" sz="800" baseline="0">
              <a:latin typeface="Arial Narrow" panose="020B0606020202030204" pitchFamily="34" charset="0"/>
            </a:rPr>
            <a:t>x 1,6</a:t>
          </a:r>
          <a:endParaRPr lang="de-DE" sz="800">
            <a:latin typeface="Arial Narrow" panose="020B0606020202030204" pitchFamily="34" charset="0"/>
          </a:endParaRPr>
        </a:p>
      </xdr:txBody>
    </xdr:sp>
    <xdr:clientData/>
  </xdr:oneCellAnchor>
  <xdr:twoCellAnchor>
    <xdr:from>
      <xdr:col>23</xdr:col>
      <xdr:colOff>0</xdr:colOff>
      <xdr:row>6</xdr:row>
      <xdr:rowOff>0</xdr:rowOff>
    </xdr:from>
    <xdr:to>
      <xdr:col>38</xdr:col>
      <xdr:colOff>0</xdr:colOff>
      <xdr:row>15</xdr:row>
      <xdr:rowOff>0</xdr:rowOff>
    </xdr:to>
    <xdr:sp macro="" textlink="$H$48">
      <xdr:nvSpPr>
        <xdr:cNvPr id="6" name="Rechteck 5"/>
        <xdr:cNvSpPr/>
      </xdr:nvSpPr>
      <xdr:spPr>
        <a:xfrm>
          <a:off x="3400425" y="485775"/>
          <a:ext cx="2428875" cy="1457325"/>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2F5764E1-6FD7-4038-A847-3CC934BF6127}" type="TxLink">
            <a:rPr lang="en-US" sz="800" b="0" i="0" u="none" strike="noStrike">
              <a:solidFill>
                <a:srgbClr val="000000"/>
              </a:solidFill>
              <a:latin typeface="Arial Narrow" panose="020B0606020202030204" pitchFamily="34" charset="0"/>
            </a:rPr>
            <a:pPr algn="l"/>
            <a:t>BE2 | Room1
θ_int,i: 20 °C
n_min: 0,5 1/h</a:t>
          </a:fld>
          <a:endParaRPr lang="de-DE" sz="800">
            <a:latin typeface="Arial Narrow" panose="020B0606020202030204" pitchFamily="34" charset="0"/>
          </a:endParaRPr>
        </a:p>
      </xdr:txBody>
    </xdr:sp>
    <xdr:clientData/>
  </xdr:twoCellAnchor>
  <xdr:twoCellAnchor>
    <xdr:from>
      <xdr:col>4</xdr:col>
      <xdr:colOff>161924</xdr:colOff>
      <xdr:row>6</xdr:row>
      <xdr:rowOff>0</xdr:rowOff>
    </xdr:from>
    <xdr:to>
      <xdr:col>22</xdr:col>
      <xdr:colOff>0</xdr:colOff>
      <xdr:row>15</xdr:row>
      <xdr:rowOff>0</xdr:rowOff>
    </xdr:to>
    <xdr:sp macro="" textlink="$F$48">
      <xdr:nvSpPr>
        <xdr:cNvPr id="4" name="Rechteck 3"/>
        <xdr:cNvSpPr/>
      </xdr:nvSpPr>
      <xdr:spPr>
        <a:xfrm>
          <a:off x="485774" y="485775"/>
          <a:ext cx="2752726" cy="145732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49803D9F-0AEB-4911-B8BF-8C417B40E021}" type="TxLink">
            <a:rPr lang="en-US" sz="800" b="0" i="0" u="none" strike="noStrike">
              <a:solidFill>
                <a:srgbClr val="000000"/>
              </a:solidFill>
              <a:latin typeface="Arial Narrow" panose="020B0606020202030204" pitchFamily="34" charset="0"/>
            </a:rPr>
            <a:pPr algn="l"/>
            <a:t>BE1 | Room1
θ_int,i: 18 °C
n_min: 0,5 1/h</a:t>
          </a:fld>
          <a:endParaRPr lang="de-DE" sz="800">
            <a:latin typeface="Arial Narrow" panose="020B0606020202030204" pitchFamily="34" charset="0"/>
          </a:endParaRPr>
        </a:p>
      </xdr:txBody>
    </xdr:sp>
    <xdr:clientData/>
  </xdr:twoCellAnchor>
  <xdr:twoCellAnchor>
    <xdr:from>
      <xdr:col>5</xdr:col>
      <xdr:colOff>0</xdr:colOff>
      <xdr:row>16</xdr:row>
      <xdr:rowOff>0</xdr:rowOff>
    </xdr:from>
    <xdr:to>
      <xdr:col>16</xdr:col>
      <xdr:colOff>0</xdr:colOff>
      <xdr:row>27</xdr:row>
      <xdr:rowOff>0</xdr:rowOff>
    </xdr:to>
    <xdr:sp macro="" textlink="$G$48">
      <xdr:nvSpPr>
        <xdr:cNvPr id="5" name="Rechteck 4"/>
        <xdr:cNvSpPr/>
      </xdr:nvSpPr>
      <xdr:spPr>
        <a:xfrm>
          <a:off x="485775" y="2105025"/>
          <a:ext cx="1781175" cy="178117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85A18468-CC31-4A4E-BDB6-057D7161D214}" type="TxLink">
            <a:rPr lang="en-US" sz="800" b="0" i="0" u="none" strike="noStrike">
              <a:solidFill>
                <a:srgbClr val="000000"/>
              </a:solidFill>
              <a:latin typeface="Arial Narrow" panose="020B0606020202030204" pitchFamily="34" charset="0"/>
            </a:rPr>
            <a:pPr algn="l"/>
            <a:t>BE1 | Room2
θ_int,i: 20 °C
n_min: 0,5 1/h</a:t>
          </a:fld>
          <a:endParaRPr lang="de-DE" sz="800">
            <a:latin typeface="Arial Narrow" panose="020B0606020202030204" pitchFamily="34" charset="0"/>
          </a:endParaRPr>
        </a:p>
      </xdr:txBody>
    </xdr:sp>
    <xdr:clientData/>
  </xdr:twoCellAnchor>
  <xdr:twoCellAnchor>
    <xdr:from>
      <xdr:col>23</xdr:col>
      <xdr:colOff>0</xdr:colOff>
      <xdr:row>16</xdr:row>
      <xdr:rowOff>0</xdr:rowOff>
    </xdr:from>
    <xdr:to>
      <xdr:col>38</xdr:col>
      <xdr:colOff>0</xdr:colOff>
      <xdr:row>23</xdr:row>
      <xdr:rowOff>0</xdr:rowOff>
    </xdr:to>
    <xdr:sp macro="" textlink="$I$48">
      <xdr:nvSpPr>
        <xdr:cNvPr id="7" name="Rechteck 6"/>
        <xdr:cNvSpPr/>
      </xdr:nvSpPr>
      <xdr:spPr>
        <a:xfrm>
          <a:off x="3400425" y="2105025"/>
          <a:ext cx="2428875" cy="1133475"/>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D0E6CBA-5708-4AD0-B368-B8DE1BC485F8}" type="TxLink">
            <a:rPr lang="en-US" sz="800" b="0" i="0" u="none" strike="noStrike">
              <a:solidFill>
                <a:srgbClr val="000000"/>
              </a:solidFill>
              <a:latin typeface="Arial Narrow" panose="020B0606020202030204" pitchFamily="34" charset="0"/>
            </a:rPr>
            <a:pPr algn="l"/>
            <a:t>BE2 | Room2
θ_int,i: 18 °C
n_min: 0,5 1/h</a:t>
          </a:fld>
          <a:endParaRPr lang="de-DE" sz="800">
            <a:latin typeface="Arial Narrow" panose="020B0606020202030204" pitchFamily="34" charset="0"/>
          </a:endParaRPr>
        </a:p>
      </xdr:txBody>
    </xdr:sp>
    <xdr:clientData/>
  </xdr:twoCellAnchor>
  <xdr:twoCellAnchor>
    <xdr:from>
      <xdr:col>23</xdr:col>
      <xdr:colOff>0</xdr:colOff>
      <xdr:row>24</xdr:row>
      <xdr:rowOff>1</xdr:rowOff>
    </xdr:from>
    <xdr:to>
      <xdr:col>38</xdr:col>
      <xdr:colOff>1</xdr:colOff>
      <xdr:row>27</xdr:row>
      <xdr:rowOff>114300</xdr:rowOff>
    </xdr:to>
    <xdr:sp macro="" textlink="$J$48">
      <xdr:nvSpPr>
        <xdr:cNvPr id="8" name="Rechteck 7"/>
        <xdr:cNvSpPr/>
      </xdr:nvSpPr>
      <xdr:spPr>
        <a:xfrm>
          <a:off x="3476625" y="3400426"/>
          <a:ext cx="2428876" cy="600074"/>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FDE1E2FD-6844-40BC-9207-DF7A8FABC698}" type="TxLink">
            <a:rPr lang="en-US" sz="800" b="0" i="0" u="none" strike="noStrike">
              <a:solidFill>
                <a:srgbClr val="000000"/>
              </a:solidFill>
              <a:latin typeface="Arial Narrow" panose="020B0606020202030204" pitchFamily="34" charset="0"/>
            </a:rPr>
            <a:pPr algn="l"/>
            <a:t>BE2 | unheated
θ_int,i: unheated (winter garden, glazed balkony, etc.) °C
n_min: 0,5 1/h</a:t>
          </a:fld>
          <a:endParaRPr lang="de-DE" sz="800">
            <a:latin typeface="Arial Narrow" panose="020B0606020202030204" pitchFamily="34" charset="0"/>
          </a:endParaRPr>
        </a:p>
      </xdr:txBody>
    </xdr:sp>
    <xdr:clientData/>
  </xdr:twoCellAnchor>
  <xdr:oneCellAnchor>
    <xdr:from>
      <xdr:col>36</xdr:col>
      <xdr:colOff>47625</xdr:colOff>
      <xdr:row>2</xdr:row>
      <xdr:rowOff>20423</xdr:rowOff>
    </xdr:from>
    <xdr:ext cx="809625" cy="425877"/>
    <xdr:sp macro="" textlink="">
      <xdr:nvSpPr>
        <xdr:cNvPr id="59" name="Rechteck 58"/>
        <xdr:cNvSpPr/>
      </xdr:nvSpPr>
      <xdr:spPr>
        <a:xfrm>
          <a:off x="5953125" y="344273"/>
          <a:ext cx="809625" cy="425877"/>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36000" rIns="0" bIns="36000" rtlCol="0" anchor="ctr" anchorCtr="1">
          <a:spAutoFit/>
        </a:bodyPr>
        <a:lstStyle/>
        <a:p>
          <a:pPr algn="l"/>
          <a:r>
            <a:rPr lang="de-DE" sz="800">
              <a:latin typeface="Arial Narrow" panose="020B0606020202030204" pitchFamily="34" charset="0"/>
            </a:rPr>
            <a:t>Storey</a:t>
          </a:r>
          <a:r>
            <a:rPr lang="de-DE" sz="800" baseline="0">
              <a:latin typeface="Arial Narrow" panose="020B0606020202030204" pitchFamily="34" charset="0"/>
            </a:rPr>
            <a:t> height: 2</a:t>
          </a:r>
          <a:r>
            <a:rPr lang="de-DE" sz="800">
              <a:latin typeface="Arial Narrow" panose="020B0606020202030204" pitchFamily="34" charset="0"/>
            </a:rPr>
            <a:t>,8</a:t>
          </a:r>
        </a:p>
        <a:p>
          <a:pPr algn="l"/>
          <a:r>
            <a:rPr lang="de-DE" sz="800">
              <a:latin typeface="Arial Narrow" panose="020B0606020202030204" pitchFamily="34" charset="0"/>
            </a:rPr>
            <a:t>Internal height: 2,6</a:t>
          </a:r>
        </a:p>
        <a:p>
          <a:pPr algn="l"/>
          <a:r>
            <a:rPr lang="de-DE" sz="800">
              <a:latin typeface="Arial Narrow" panose="020B0606020202030204" pitchFamily="34" charset="0"/>
            </a:rPr>
            <a:t>Wall thickness:</a:t>
          </a:r>
          <a:r>
            <a:rPr lang="de-DE" sz="800" baseline="0">
              <a:latin typeface="Arial Narrow" panose="020B0606020202030204" pitchFamily="34" charset="0"/>
            </a:rPr>
            <a:t> 0,3</a:t>
          </a:r>
          <a:endParaRPr lang="de-DE" sz="800">
            <a:latin typeface="Arial Narrow" panose="020B060602020203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561975</xdr:colOff>
          <xdr:row>6</xdr:row>
          <xdr:rowOff>84026</xdr:rowOff>
        </xdr:from>
        <xdr:to>
          <xdr:col>16</xdr:col>
          <xdr:colOff>406465</xdr:colOff>
          <xdr:row>38</xdr:row>
          <xdr:rowOff>95250</xdr:rowOff>
        </xdr:to>
        <xdr:pic>
          <xdr:nvPicPr>
            <xdr:cNvPr id="2" name="Grafik 1"/>
            <xdr:cNvPicPr>
              <a:picLocks noChangeAspect="1" noChangeArrowheads="1"/>
              <a:extLst>
                <a:ext uri="{84589F7E-364E-4C9E-8A38-B11213B215E9}">
                  <a14:cameraTool cellRange="Tabelle1!$A$1:$AS$32" spid="_x0000_s3083"/>
                </a:ext>
              </a:extLst>
            </xdr:cNvPicPr>
          </xdr:nvPicPr>
          <xdr:blipFill>
            <a:blip xmlns:r="http://schemas.openxmlformats.org/officeDocument/2006/relationships" r:embed="rId1"/>
            <a:srcRect/>
            <a:stretch>
              <a:fillRect/>
            </a:stretch>
          </xdr:blipFill>
          <xdr:spPr bwMode="auto">
            <a:xfrm>
              <a:off x="4943475" y="2227151"/>
              <a:ext cx="7388290" cy="5202349"/>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0:K48"/>
  <sheetViews>
    <sheetView showGridLines="0" zoomScaleNormal="100" workbookViewId="0">
      <selection activeCell="J43" sqref="J43"/>
    </sheetView>
  </sheetViews>
  <sheetFormatPr defaultColWidth="2.88671875" defaultRowHeight="10.5" x14ac:dyDescent="0.3"/>
  <cols>
    <col min="1" max="5" width="2.88671875" style="1"/>
    <col min="6" max="9" width="3.109375" style="1" bestFit="1" customWidth="1"/>
    <col min="10" max="16384" width="2.88671875" style="1"/>
  </cols>
  <sheetData>
    <row r="40" spans="5:11" x14ac:dyDescent="0.3">
      <c r="E40" s="1" t="s">
        <v>6</v>
      </c>
      <c r="F40" s="1">
        <v>1</v>
      </c>
      <c r="G40" s="1">
        <v>2</v>
      </c>
      <c r="H40" s="1">
        <v>1</v>
      </c>
      <c r="I40" s="1">
        <v>2</v>
      </c>
    </row>
    <row r="41" spans="5:11" x14ac:dyDescent="0.3">
      <c r="E41" s="1" t="s">
        <v>1</v>
      </c>
      <c r="F41" s="1">
        <v>1</v>
      </c>
      <c r="G41" s="1">
        <v>1</v>
      </c>
      <c r="H41" s="1">
        <v>2</v>
      </c>
      <c r="I41" s="1">
        <v>2</v>
      </c>
      <c r="J41" s="1">
        <v>2</v>
      </c>
    </row>
    <row r="42" spans="5:11" x14ac:dyDescent="0.3">
      <c r="E42" s="1" t="s">
        <v>0</v>
      </c>
      <c r="F42" s="1">
        <v>18</v>
      </c>
      <c r="G42" s="1">
        <v>20</v>
      </c>
      <c r="H42" s="1">
        <v>20</v>
      </c>
      <c r="I42" s="1">
        <v>18</v>
      </c>
      <c r="J42" s="1" t="s">
        <v>132</v>
      </c>
      <c r="K42" s="1" t="s">
        <v>3</v>
      </c>
    </row>
    <row r="43" spans="5:11" x14ac:dyDescent="0.3">
      <c r="E43" s="1" t="s">
        <v>2</v>
      </c>
      <c r="F43" s="1">
        <v>0.5</v>
      </c>
      <c r="G43" s="1">
        <v>0.5</v>
      </c>
      <c r="H43" s="1">
        <v>0.5</v>
      </c>
      <c r="I43" s="1">
        <v>0.5</v>
      </c>
      <c r="J43" s="1">
        <v>0.5</v>
      </c>
      <c r="K43" s="1" t="s">
        <v>4</v>
      </c>
    </row>
    <row r="45" spans="5:11" x14ac:dyDescent="0.3">
      <c r="F45" s="2" t="str">
        <f>$E41&amp;F41&amp;" | "&amp;$E40&amp;F40</f>
        <v>BE1 | Room1</v>
      </c>
      <c r="G45" s="2" t="str">
        <f t="shared" ref="G45:I45" si="0">$E41&amp;G41&amp;" | "&amp;$E40&amp;G40</f>
        <v>BE1 | Room2</v>
      </c>
      <c r="H45" s="2" t="str">
        <f t="shared" si="0"/>
        <v>BE2 | Room1</v>
      </c>
      <c r="I45" s="2" t="str">
        <f t="shared" si="0"/>
        <v>BE2 | Room2</v>
      </c>
      <c r="J45" s="2" t="str">
        <f>$E41&amp;J41&amp;" | unheated"</f>
        <v>BE2 | unheated</v>
      </c>
    </row>
    <row r="46" spans="5:11" x14ac:dyDescent="0.3">
      <c r="F46" s="3" t="str">
        <f t="shared" ref="F46:J47" si="1">$E42&amp;": "&amp;F42&amp;" "&amp;$K42</f>
        <v>θ_int,i: 18 °C</v>
      </c>
      <c r="G46" s="3" t="str">
        <f t="shared" si="1"/>
        <v>θ_int,i: 20 °C</v>
      </c>
      <c r="H46" s="3" t="str">
        <f t="shared" si="1"/>
        <v>θ_int,i: 20 °C</v>
      </c>
      <c r="I46" s="3" t="str">
        <f t="shared" si="1"/>
        <v>θ_int,i: 18 °C</v>
      </c>
      <c r="J46" s="3" t="str">
        <f t="shared" si="1"/>
        <v>θ_int,i: unheated (winter garden, glazed balkony, etc.) °C</v>
      </c>
    </row>
    <row r="47" spans="5:11" x14ac:dyDescent="0.3">
      <c r="F47" s="3" t="str">
        <f t="shared" si="1"/>
        <v>n_min: 0,5 1/h</v>
      </c>
      <c r="G47" s="3" t="str">
        <f t="shared" si="1"/>
        <v>n_min: 0,5 1/h</v>
      </c>
      <c r="H47" s="3" t="str">
        <f t="shared" si="1"/>
        <v>n_min: 0,5 1/h</v>
      </c>
      <c r="I47" s="3" t="str">
        <f t="shared" si="1"/>
        <v>n_min: 0,5 1/h</v>
      </c>
      <c r="J47" s="3" t="str">
        <f t="shared" si="1"/>
        <v>n_min: 0,5 1/h</v>
      </c>
    </row>
    <row r="48" spans="5:11" ht="346.5" x14ac:dyDescent="0.3">
      <c r="E48" s="4" t="s">
        <v>5</v>
      </c>
      <c r="F48" s="4" t="str">
        <f>F45&amp;$E48&amp;F46&amp;$E48&amp;F47</f>
        <v>BE1 | Room1
θ_int,i: 18 °C
n_min: 0,5 1/h</v>
      </c>
      <c r="G48" s="4" t="str">
        <f t="shared" ref="G48:I48" si="2">G45&amp;$E48&amp;G46&amp;$E48&amp;G47</f>
        <v>BE1 | Room2
θ_int,i: 20 °C
n_min: 0,5 1/h</v>
      </c>
      <c r="H48" s="4" t="str">
        <f t="shared" si="2"/>
        <v>BE2 | Room1
θ_int,i: 20 °C
n_min: 0,5 1/h</v>
      </c>
      <c r="I48" s="4" t="str">
        <f t="shared" si="2"/>
        <v>BE2 | Room2
θ_int,i: 18 °C
n_min: 0,5 1/h</v>
      </c>
      <c r="J48" s="4" t="str">
        <f>J45&amp;$E48&amp;J46&amp;$E48&amp;J47</f>
        <v>BE2 | unheated
θ_int,i: unheated (winter garden, glazed balkony, etc.) °C
n_min: 0,5 1/h</v>
      </c>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0"/>
  <sheetViews>
    <sheetView tabSelected="1" workbookViewId="0">
      <selection activeCell="A18" sqref="A18"/>
    </sheetView>
  </sheetViews>
  <sheetFormatPr defaultColWidth="11.5546875" defaultRowHeight="13" x14ac:dyDescent="0.3"/>
  <sheetData>
    <row r="2" spans="1:1" x14ac:dyDescent="0.3">
      <c r="A2" s="132" t="s">
        <v>137</v>
      </c>
    </row>
    <row r="3" spans="1:1" x14ac:dyDescent="0.3">
      <c r="A3" s="133" t="s">
        <v>138</v>
      </c>
    </row>
    <row r="4" spans="1:1" x14ac:dyDescent="0.3">
      <c r="A4" s="133" t="s">
        <v>139</v>
      </c>
    </row>
    <row r="5" spans="1:1" x14ac:dyDescent="0.3">
      <c r="A5" s="133" t="s">
        <v>140</v>
      </c>
    </row>
    <row r="6" spans="1:1" x14ac:dyDescent="0.3">
      <c r="A6" s="133" t="s">
        <v>141</v>
      </c>
    </row>
    <row r="7" spans="1:1" x14ac:dyDescent="0.3">
      <c r="A7" s="134"/>
    </row>
    <row r="8" spans="1:1" x14ac:dyDescent="0.3">
      <c r="A8" s="134" t="s">
        <v>142</v>
      </c>
    </row>
    <row r="9" spans="1:1" x14ac:dyDescent="0.3">
      <c r="A9" s="133" t="s">
        <v>143</v>
      </c>
    </row>
    <row r="10" spans="1:1" x14ac:dyDescent="0.3">
      <c r="A10" s="134"/>
    </row>
    <row r="11" spans="1:1" x14ac:dyDescent="0.3">
      <c r="A11" s="134" t="s">
        <v>144</v>
      </c>
    </row>
    <row r="12" spans="1:1" x14ac:dyDescent="0.3">
      <c r="A12" s="133" t="s">
        <v>145</v>
      </c>
    </row>
    <row r="13" spans="1:1" x14ac:dyDescent="0.3">
      <c r="A13" s="133" t="s">
        <v>146</v>
      </c>
    </row>
    <row r="14" spans="1:1" x14ac:dyDescent="0.3">
      <c r="A14" s="133" t="s">
        <v>147</v>
      </c>
    </row>
    <row r="15" spans="1:1" x14ac:dyDescent="0.3">
      <c r="A15" s="134"/>
    </row>
    <row r="16" spans="1:1" x14ac:dyDescent="0.3">
      <c r="A16" s="134" t="s">
        <v>148</v>
      </c>
    </row>
    <row r="17" spans="1:1" x14ac:dyDescent="0.3">
      <c r="A17" s="133" t="s">
        <v>149</v>
      </c>
    </row>
    <row r="18" spans="1:1" x14ac:dyDescent="0.3">
      <c r="A18" s="135" t="s">
        <v>150</v>
      </c>
    </row>
    <row r="20" spans="1:1" x14ac:dyDescent="0.3">
      <c r="A20" s="134"/>
    </row>
  </sheetData>
  <sheetProtection password="EB27"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H53"/>
  <sheetViews>
    <sheetView showGridLines="0" topLeftCell="A16" workbookViewId="0"/>
  </sheetViews>
  <sheetFormatPr defaultColWidth="4.88671875" defaultRowHeight="13" x14ac:dyDescent="0.3"/>
  <cols>
    <col min="1" max="1" width="2.88671875" style="6" customWidth="1"/>
    <col min="2" max="2" width="6.6640625" style="6" bestFit="1" customWidth="1"/>
    <col min="3" max="3" width="16.6640625" style="6" customWidth="1"/>
    <col min="4" max="4" width="11.6640625" style="6" bestFit="1" customWidth="1"/>
    <col min="5" max="5" width="12.88671875" style="7" bestFit="1" customWidth="1"/>
    <col min="6" max="6" width="14" style="6" bestFit="1" customWidth="1"/>
    <col min="7" max="7" width="5.109375" style="6" bestFit="1" customWidth="1"/>
    <col min="8" max="8" width="8.109375" style="6" bestFit="1" customWidth="1"/>
    <col min="9" max="9" width="9.6640625" style="7" bestFit="1" customWidth="1"/>
    <col min="10" max="10" width="10.6640625" style="7" bestFit="1" customWidth="1"/>
    <col min="11" max="11" width="6.109375" style="7" bestFit="1" customWidth="1"/>
    <col min="12" max="12" width="6.6640625" style="6" bestFit="1" customWidth="1"/>
    <col min="13" max="13" width="6.88671875" style="6" bestFit="1" customWidth="1"/>
    <col min="14" max="14" width="14.33203125" style="6" customWidth="1"/>
    <col min="15" max="15" width="13.88671875" style="6" bestFit="1" customWidth="1"/>
    <col min="16" max="16" width="9.33203125" style="6" bestFit="1" customWidth="1"/>
    <col min="17" max="17" width="6.44140625" style="6" bestFit="1" customWidth="1"/>
    <col min="18" max="19" width="6.6640625" style="6" bestFit="1" customWidth="1"/>
    <col min="20" max="20" width="10.33203125" style="6" bestFit="1" customWidth="1"/>
    <col min="21" max="22" width="5.6640625" style="6" bestFit="1" customWidth="1"/>
    <col min="23" max="24" width="7.6640625" style="6" bestFit="1" customWidth="1"/>
    <col min="25" max="26" width="6.88671875" style="6" bestFit="1" customWidth="1"/>
    <col min="27" max="27" width="7.6640625" style="6" bestFit="1" customWidth="1"/>
    <col min="28" max="28" width="5.6640625" style="6" bestFit="1" customWidth="1"/>
    <col min="29" max="29" width="6.6640625" style="6" bestFit="1" customWidth="1"/>
    <col min="30" max="30" width="9" style="6" bestFit="1" customWidth="1"/>
    <col min="31" max="31" width="8" style="6" customWidth="1"/>
    <col min="32" max="33" width="4.88671875" style="6"/>
    <col min="34" max="34" width="32.6640625" style="6" bestFit="1" customWidth="1"/>
    <col min="35" max="16384" width="4.88671875" style="6"/>
  </cols>
  <sheetData>
    <row r="1" spans="2:34" ht="13.5" thickBot="1" x14ac:dyDescent="0.35"/>
    <row r="2" spans="2:34" ht="18.5" thickBot="1" x14ac:dyDescent="0.35">
      <c r="B2" s="138" t="s">
        <v>127</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40"/>
    </row>
    <row r="3" spans="2:34" s="7" customFormat="1" ht="120" x14ac:dyDescent="0.3">
      <c r="B3" s="25" t="s">
        <v>91</v>
      </c>
      <c r="C3" s="26" t="s">
        <v>10</v>
      </c>
      <c r="D3" s="26" t="s">
        <v>54</v>
      </c>
      <c r="E3" s="26" t="s">
        <v>11</v>
      </c>
      <c r="F3" s="26" t="s">
        <v>26</v>
      </c>
      <c r="G3" s="26" t="s">
        <v>45</v>
      </c>
      <c r="H3" s="26" t="s">
        <v>22</v>
      </c>
      <c r="I3" s="26" t="s">
        <v>24</v>
      </c>
      <c r="J3" s="26" t="s">
        <v>65</v>
      </c>
      <c r="K3" s="26" t="s">
        <v>55</v>
      </c>
      <c r="L3" s="26" t="s">
        <v>61</v>
      </c>
      <c r="M3" s="26" t="s">
        <v>68</v>
      </c>
      <c r="N3" s="26" t="s">
        <v>70</v>
      </c>
      <c r="O3" s="26" t="s">
        <v>72</v>
      </c>
      <c r="P3" s="26" t="s">
        <v>74</v>
      </c>
      <c r="Q3" s="26" t="s">
        <v>43</v>
      </c>
      <c r="R3" s="184" t="s">
        <v>67</v>
      </c>
      <c r="S3" s="185"/>
      <c r="T3" s="27" t="s">
        <v>42</v>
      </c>
      <c r="U3" s="184" t="s">
        <v>76</v>
      </c>
      <c r="V3" s="185"/>
      <c r="W3" s="184" t="s">
        <v>42</v>
      </c>
      <c r="X3" s="185"/>
      <c r="Y3" s="26" t="s">
        <v>85</v>
      </c>
      <c r="Z3" s="26" t="s">
        <v>90</v>
      </c>
      <c r="AA3" s="26" t="s">
        <v>107</v>
      </c>
      <c r="AB3" s="141" t="s">
        <v>114</v>
      </c>
      <c r="AC3" s="142"/>
      <c r="AD3" s="143"/>
    </row>
    <row r="4" spans="2:34" s="7" customFormat="1" ht="26" x14ac:dyDescent="0.3">
      <c r="B4" s="28" t="s">
        <v>31</v>
      </c>
      <c r="C4" s="8" t="s">
        <v>7</v>
      </c>
      <c r="D4" s="8" t="s">
        <v>0</v>
      </c>
      <c r="E4" s="8" t="s">
        <v>9</v>
      </c>
      <c r="F4" s="8" t="s">
        <v>42</v>
      </c>
      <c r="G4" s="8" t="s">
        <v>42</v>
      </c>
      <c r="H4" s="8" t="s">
        <v>23</v>
      </c>
      <c r="I4" s="8" t="s">
        <v>21</v>
      </c>
      <c r="J4" s="8" t="s">
        <v>66</v>
      </c>
      <c r="K4" s="8" t="s">
        <v>56</v>
      </c>
      <c r="L4" s="8" t="s">
        <v>62</v>
      </c>
      <c r="M4" s="8" t="s">
        <v>69</v>
      </c>
      <c r="N4" s="8" t="s">
        <v>71</v>
      </c>
      <c r="O4" s="8" t="s">
        <v>73</v>
      </c>
      <c r="P4" s="8" t="s">
        <v>75</v>
      </c>
      <c r="Q4" s="8" t="s">
        <v>44</v>
      </c>
      <c r="R4" s="182" t="s">
        <v>63</v>
      </c>
      <c r="S4" s="183"/>
      <c r="T4" s="9" t="s">
        <v>84</v>
      </c>
      <c r="U4" s="182" t="s">
        <v>77</v>
      </c>
      <c r="V4" s="183"/>
      <c r="W4" s="182" t="s">
        <v>83</v>
      </c>
      <c r="X4" s="183"/>
      <c r="Y4" s="8" t="s">
        <v>86</v>
      </c>
      <c r="Z4" s="8" t="s">
        <v>119</v>
      </c>
      <c r="AA4" s="8" t="s">
        <v>120</v>
      </c>
      <c r="AB4" s="8" t="s">
        <v>116</v>
      </c>
      <c r="AC4" s="8" t="s">
        <v>117</v>
      </c>
      <c r="AD4" s="29" t="s">
        <v>118</v>
      </c>
    </row>
    <row r="5" spans="2:34" s="7" customFormat="1" ht="13.5" thickBot="1" x14ac:dyDescent="0.35">
      <c r="B5" s="30" t="s">
        <v>42</v>
      </c>
      <c r="C5" s="31" t="s">
        <v>42</v>
      </c>
      <c r="D5" s="31" t="s">
        <v>3</v>
      </c>
      <c r="E5" s="31" t="s">
        <v>42</v>
      </c>
      <c r="F5" s="31" t="s">
        <v>42</v>
      </c>
      <c r="G5" s="31" t="s">
        <v>42</v>
      </c>
      <c r="H5" s="31" t="s">
        <v>53</v>
      </c>
      <c r="I5" s="31" t="s">
        <v>20</v>
      </c>
      <c r="J5" s="31" t="s">
        <v>20</v>
      </c>
      <c r="K5" s="31" t="s">
        <v>3</v>
      </c>
      <c r="L5" s="31" t="s">
        <v>25</v>
      </c>
      <c r="M5" s="31" t="s">
        <v>25</v>
      </c>
      <c r="N5" s="31" t="s">
        <v>25</v>
      </c>
      <c r="O5" s="31" t="s">
        <v>42</v>
      </c>
      <c r="P5" s="31" t="s">
        <v>20</v>
      </c>
      <c r="Q5" s="31" t="s">
        <v>42</v>
      </c>
      <c r="R5" s="180" t="s">
        <v>64</v>
      </c>
      <c r="S5" s="181"/>
      <c r="T5" s="32"/>
      <c r="U5" s="180" t="s">
        <v>64</v>
      </c>
      <c r="V5" s="181"/>
      <c r="W5" s="180" t="s">
        <v>78</v>
      </c>
      <c r="X5" s="181"/>
      <c r="Y5" s="31" t="s">
        <v>3</v>
      </c>
      <c r="Z5" s="31" t="s">
        <v>64</v>
      </c>
      <c r="AA5" s="31" t="s">
        <v>78</v>
      </c>
      <c r="AB5" s="31" t="s">
        <v>78</v>
      </c>
      <c r="AC5" s="31" t="s">
        <v>78</v>
      </c>
      <c r="AD5" s="33" t="s">
        <v>78</v>
      </c>
    </row>
    <row r="6" spans="2:34" x14ac:dyDescent="0.3">
      <c r="B6" s="100" t="s">
        <v>32</v>
      </c>
      <c r="C6" s="101" t="s">
        <v>79</v>
      </c>
      <c r="D6" s="83">
        <f>'Input data'!$D$4</f>
        <v>18</v>
      </c>
      <c r="E6" s="35" t="s">
        <v>12</v>
      </c>
      <c r="F6" s="35" t="s">
        <v>27</v>
      </c>
      <c r="G6" s="34" t="s">
        <v>46</v>
      </c>
      <c r="H6" s="36">
        <f>4*7</f>
        <v>28</v>
      </c>
      <c r="I6" s="85">
        <f>'Input data'!$O$5</f>
        <v>0.7</v>
      </c>
      <c r="J6" s="85">
        <f>'Input data'!$R$5</f>
        <v>0.05</v>
      </c>
      <c r="K6" s="117">
        <f>'Input data'!$G$5</f>
        <v>10</v>
      </c>
      <c r="L6" s="37">
        <f>7+4</f>
        <v>11</v>
      </c>
      <c r="M6" s="37">
        <v>0</v>
      </c>
      <c r="N6" s="38">
        <f>H6/(0.5*L6)</f>
        <v>5.0909090909090908</v>
      </c>
      <c r="O6" s="38">
        <v>1.45</v>
      </c>
      <c r="P6" s="38">
        <f>0.48/(-10.685+(20.64+N6)^0.4791+(25.48+M6)^0.5626+I6^-0.6376)</f>
        <v>0.32171255959347023</v>
      </c>
      <c r="Q6" s="38">
        <f>(D6-K6)/(D6-'Input data'!$H$5)</f>
        <v>0.26666666666666666</v>
      </c>
      <c r="R6" s="39">
        <f>H6*SUM(P6,J6)*Q6*O6</f>
        <v>4.0244079785319702</v>
      </c>
      <c r="S6" s="159">
        <f>SUM(R6:R21)</f>
        <v>64.18993510021464</v>
      </c>
      <c r="T6" s="159">
        <f>S6*'Input data'!$H$5</f>
        <v>-770.27922120257563</v>
      </c>
      <c r="U6" s="48" t="s">
        <v>42</v>
      </c>
      <c r="V6" s="159">
        <f>SUM(U6:U21)</f>
        <v>8.3999999999999986</v>
      </c>
      <c r="W6" s="48" t="s">
        <v>42</v>
      </c>
      <c r="X6" s="159">
        <f>SUM(W6:W21)</f>
        <v>167.99999999999997</v>
      </c>
      <c r="Y6" s="159">
        <f>MAX((T6+X6)/(S6+V6),'Input data'!$J$5)</f>
        <v>10</v>
      </c>
      <c r="Z6" s="52">
        <f>H6*SUM(J6,P6)*O6*Q6</f>
        <v>4.0244079785319711</v>
      </c>
      <c r="AA6" s="55">
        <f>Z6*(D6-'Input data'!$H$5)</f>
        <v>120.73223935595914</v>
      </c>
      <c r="AB6" s="144">
        <f>SUMIFS($AA$6:$AA$36,$C$6:$C$36,C6)</f>
        <v>863.33223935595913</v>
      </c>
      <c r="AC6" s="150">
        <f>SUMIFS($AA$6:$AA$36,$B$6:$B$36,B6,$G$6:$G$36,"ie")+SUMIFS($AA$6:$AA$36,$B$6:$B$36,B6,$G$6:$G$36,"iae")+SUMIFS($AA$6:$AA$36,$B$6:$B$36,B6,$G$6:$G$36,"iaBE")+SUMIFS($AA$6:$AA$36,$B$6:$B$36,B6,$G$6:$G$36,"ig")</f>
        <v>2065.8691072498041</v>
      </c>
      <c r="AD6" s="156">
        <f>SUMIFS($AA$6:$AA$36,$G$6:$G$36,"ie")+SUMIFS($AA$6:$AA$36,$G$6:$G$36,"iae")+SUMIFS($AA$6:$AA$36,$G$6:$G$36,"ig")</f>
        <v>3380.4899480730915</v>
      </c>
    </row>
    <row r="7" spans="2:34" ht="26.5" thickBot="1" x14ac:dyDescent="0.35">
      <c r="B7" s="102" t="str">
        <f>B6</f>
        <v>BE1</v>
      </c>
      <c r="C7" s="103" t="str">
        <f>C6</f>
        <v>BE1 | Room1</v>
      </c>
      <c r="D7" s="15">
        <f>'Input data'!$D$4</f>
        <v>18</v>
      </c>
      <c r="E7" s="14" t="s">
        <v>13</v>
      </c>
      <c r="F7" s="14" t="s">
        <v>28</v>
      </c>
      <c r="G7" s="13" t="s">
        <v>47</v>
      </c>
      <c r="H7" s="12">
        <f>4*7</f>
        <v>28</v>
      </c>
      <c r="I7" s="11">
        <f>'Input data'!$P$5</f>
        <v>0.4</v>
      </c>
      <c r="J7" s="10">
        <f>'Input data'!$R$5</f>
        <v>0.05</v>
      </c>
      <c r="K7" s="18" t="s">
        <v>42</v>
      </c>
      <c r="L7" s="23" t="s">
        <v>42</v>
      </c>
      <c r="M7" s="23" t="s">
        <v>42</v>
      </c>
      <c r="N7" s="23" t="s">
        <v>42</v>
      </c>
      <c r="O7" s="23" t="s">
        <v>42</v>
      </c>
      <c r="P7" s="23" t="s">
        <v>42</v>
      </c>
      <c r="Q7" s="24">
        <v>0.7</v>
      </c>
      <c r="R7" s="40">
        <f>H7*SUM(I7,J7)*Q7</f>
        <v>8.8199999999999985</v>
      </c>
      <c r="S7" s="160"/>
      <c r="T7" s="160"/>
      <c r="U7" s="49" t="s">
        <v>42</v>
      </c>
      <c r="V7" s="160"/>
      <c r="W7" s="49" t="s">
        <v>42</v>
      </c>
      <c r="X7" s="160"/>
      <c r="Y7" s="160"/>
      <c r="Z7" s="53">
        <f>H7*SUM(J7,I7)*Q7</f>
        <v>8.8199999999999985</v>
      </c>
      <c r="AA7" s="56">
        <f>Z7*(D7-'Input data'!$H$5)</f>
        <v>264.59999999999997</v>
      </c>
      <c r="AB7" s="145"/>
      <c r="AC7" s="151"/>
      <c r="AD7" s="157"/>
    </row>
    <row r="8" spans="2:34" x14ac:dyDescent="0.3">
      <c r="B8" s="102" t="str">
        <f t="shared" ref="B8:B21" si="0">B7</f>
        <v>BE1</v>
      </c>
      <c r="C8" s="103" t="str">
        <f t="shared" ref="C8:C13" si="1">C7</f>
        <v>BE1 | Room1</v>
      </c>
      <c r="D8" s="15">
        <f>'Input data'!$D$4</f>
        <v>18</v>
      </c>
      <c r="E8" s="14" t="s">
        <v>14</v>
      </c>
      <c r="F8" s="14" t="s">
        <v>29</v>
      </c>
      <c r="G8" s="13" t="s">
        <v>48</v>
      </c>
      <c r="H8" s="12">
        <f>7*2.8</f>
        <v>19.599999999999998</v>
      </c>
      <c r="I8" s="11">
        <f>'Input data'!$M$5</f>
        <v>0.3</v>
      </c>
      <c r="J8" s="10">
        <f>'Input data'!$R$5</f>
        <v>0.05</v>
      </c>
      <c r="K8" s="17">
        <f>'Input data'!$H$5</f>
        <v>-12</v>
      </c>
      <c r="L8" s="23" t="s">
        <v>42</v>
      </c>
      <c r="M8" s="23" t="s">
        <v>42</v>
      </c>
      <c r="N8" s="23" t="s">
        <v>42</v>
      </c>
      <c r="O8" s="23" t="s">
        <v>42</v>
      </c>
      <c r="P8" s="23" t="s">
        <v>42</v>
      </c>
      <c r="Q8" s="22">
        <f>(D8-K8)/(D8-'Input data'!$H$5)</f>
        <v>1</v>
      </c>
      <c r="R8" s="40">
        <f>H8*SUM(I8,J8)*Q8</f>
        <v>6.8599999999999985</v>
      </c>
      <c r="S8" s="160"/>
      <c r="T8" s="160"/>
      <c r="U8" s="49" t="s">
        <v>42</v>
      </c>
      <c r="V8" s="160"/>
      <c r="W8" s="49" t="s">
        <v>42</v>
      </c>
      <c r="X8" s="160"/>
      <c r="Y8" s="160"/>
      <c r="Z8" s="53">
        <f t="shared" ref="Z8:Z36" si="2">H8*SUM(J8,I8)*Q8</f>
        <v>6.8599999999999985</v>
      </c>
      <c r="AA8" s="56">
        <f>Z8*(D8-'Input data'!$H$5)</f>
        <v>205.79999999999995</v>
      </c>
      <c r="AB8" s="145"/>
      <c r="AC8" s="151"/>
      <c r="AD8" s="157"/>
      <c r="AF8" s="120" t="s">
        <v>129</v>
      </c>
      <c r="AG8" s="121">
        <v>123</v>
      </c>
      <c r="AH8" s="122" t="s">
        <v>130</v>
      </c>
    </row>
    <row r="9" spans="2:34" x14ac:dyDescent="0.3">
      <c r="B9" s="102" t="str">
        <f t="shared" si="0"/>
        <v>BE1</v>
      </c>
      <c r="C9" s="103" t="str">
        <f t="shared" si="1"/>
        <v>BE1 | Room1</v>
      </c>
      <c r="D9" s="15">
        <f>'Input data'!$D$4</f>
        <v>18</v>
      </c>
      <c r="E9" s="14" t="s">
        <v>15</v>
      </c>
      <c r="F9" s="14" t="s">
        <v>80</v>
      </c>
      <c r="G9" s="13" t="s">
        <v>50</v>
      </c>
      <c r="H9" s="12">
        <f>5*2.8</f>
        <v>14</v>
      </c>
      <c r="I9" s="11">
        <f>'Input data'!$N$5</f>
        <v>1.2</v>
      </c>
      <c r="J9" s="10">
        <f>'Input data'!$R$5</f>
        <v>0.05</v>
      </c>
      <c r="K9" s="17">
        <f>$D$14</f>
        <v>20</v>
      </c>
      <c r="L9" s="23" t="s">
        <v>42</v>
      </c>
      <c r="M9" s="23" t="s">
        <v>42</v>
      </c>
      <c r="N9" s="23" t="s">
        <v>42</v>
      </c>
      <c r="O9" s="23" t="s">
        <v>42</v>
      </c>
      <c r="P9" s="23" t="s">
        <v>42</v>
      </c>
      <c r="Q9" s="22">
        <f>(D9-K9)/(D9-'Input data'!$H$5)</f>
        <v>-6.6666666666666666E-2</v>
      </c>
      <c r="R9" s="41" t="s">
        <v>42</v>
      </c>
      <c r="S9" s="160"/>
      <c r="T9" s="160"/>
      <c r="U9" s="49" t="s">
        <v>42</v>
      </c>
      <c r="V9" s="160"/>
      <c r="W9" s="49" t="s">
        <v>42</v>
      </c>
      <c r="X9" s="160"/>
      <c r="Y9" s="160"/>
      <c r="Z9" s="53">
        <f t="shared" si="2"/>
        <v>-1.1666666666666667</v>
      </c>
      <c r="AA9" s="56">
        <f>Z9*(D9-'Input data'!$H$5)</f>
        <v>-35</v>
      </c>
      <c r="AB9" s="145"/>
      <c r="AC9" s="151"/>
      <c r="AD9" s="157"/>
      <c r="AF9" s="123" t="s">
        <v>129</v>
      </c>
      <c r="AG9" s="111">
        <v>124</v>
      </c>
      <c r="AH9" s="124" t="s">
        <v>135</v>
      </c>
    </row>
    <row r="10" spans="2:34" ht="26" x14ac:dyDescent="0.3">
      <c r="B10" s="102" t="str">
        <f t="shared" si="0"/>
        <v>BE1</v>
      </c>
      <c r="C10" s="103" t="str">
        <f t="shared" si="1"/>
        <v>BE1 | Room1</v>
      </c>
      <c r="D10" s="15">
        <f>'Input data'!$D$4</f>
        <v>18</v>
      </c>
      <c r="E10" s="14" t="s">
        <v>16</v>
      </c>
      <c r="F10" s="14" t="s">
        <v>28</v>
      </c>
      <c r="G10" s="13" t="s">
        <v>47</v>
      </c>
      <c r="H10" s="12">
        <f>2*2.8</f>
        <v>5.6</v>
      </c>
      <c r="I10" s="11">
        <f>'Input data'!$O$5</f>
        <v>0.7</v>
      </c>
      <c r="J10" s="10">
        <f>'Input data'!$R$5</f>
        <v>0.05</v>
      </c>
      <c r="K10" s="18" t="s">
        <v>42</v>
      </c>
      <c r="L10" s="23" t="s">
        <v>42</v>
      </c>
      <c r="M10" s="23" t="s">
        <v>42</v>
      </c>
      <c r="N10" s="23" t="s">
        <v>42</v>
      </c>
      <c r="O10" s="23" t="s">
        <v>42</v>
      </c>
      <c r="P10" s="23" t="s">
        <v>42</v>
      </c>
      <c r="Q10" s="24">
        <v>0.4</v>
      </c>
      <c r="R10" s="40">
        <f>H10*SUM(I10,J10)*Q10</f>
        <v>1.6799999999999997</v>
      </c>
      <c r="S10" s="160"/>
      <c r="T10" s="160"/>
      <c r="U10" s="49" t="s">
        <v>42</v>
      </c>
      <c r="V10" s="160"/>
      <c r="W10" s="49" t="s">
        <v>42</v>
      </c>
      <c r="X10" s="160"/>
      <c r="Y10" s="160"/>
      <c r="Z10" s="53">
        <f t="shared" si="2"/>
        <v>1.6799999999999997</v>
      </c>
      <c r="AA10" s="56">
        <f>Z10*(D10-'Input data'!$H$5)</f>
        <v>50.399999999999991</v>
      </c>
      <c r="AB10" s="145"/>
      <c r="AC10" s="151"/>
      <c r="AD10" s="157"/>
      <c r="AF10" s="125" t="s">
        <v>129</v>
      </c>
      <c r="AG10" s="112">
        <v>125</v>
      </c>
      <c r="AH10" s="136" t="s">
        <v>131</v>
      </c>
    </row>
    <row r="11" spans="2:34" x14ac:dyDescent="0.3">
      <c r="B11" s="102" t="str">
        <f t="shared" si="0"/>
        <v>BE1</v>
      </c>
      <c r="C11" s="103" t="str">
        <f t="shared" si="1"/>
        <v>BE1 | Room1</v>
      </c>
      <c r="D11" s="15">
        <f>'Input data'!$D$4</f>
        <v>18</v>
      </c>
      <c r="E11" s="14" t="s">
        <v>36</v>
      </c>
      <c r="F11" s="14" t="s">
        <v>81</v>
      </c>
      <c r="G11" s="13" t="s">
        <v>49</v>
      </c>
      <c r="H11" s="12">
        <f>4*2.8</f>
        <v>11.2</v>
      </c>
      <c r="I11" s="11">
        <f>'Input data'!$O$5</f>
        <v>0.7</v>
      </c>
      <c r="J11" s="10">
        <f>'Input data'!$R$5</f>
        <v>0.05</v>
      </c>
      <c r="K11" s="21">
        <f>Y22</f>
        <v>10</v>
      </c>
      <c r="L11" s="23" t="s">
        <v>42</v>
      </c>
      <c r="M11" s="23" t="s">
        <v>42</v>
      </c>
      <c r="N11" s="23" t="s">
        <v>42</v>
      </c>
      <c r="O11" s="23" t="s">
        <v>42</v>
      </c>
      <c r="P11" s="23" t="s">
        <v>42</v>
      </c>
      <c r="Q11" s="22">
        <f>(D11-K11)/(D11-'Input data'!$H$5)</f>
        <v>0.26666666666666666</v>
      </c>
      <c r="R11" s="41" t="s">
        <v>42</v>
      </c>
      <c r="S11" s="160"/>
      <c r="T11" s="160"/>
      <c r="U11" s="50">
        <f>H11*SUM(I11:J11)</f>
        <v>8.3999999999999986</v>
      </c>
      <c r="V11" s="160"/>
      <c r="W11" s="50">
        <f>U11*D22</f>
        <v>167.99999999999997</v>
      </c>
      <c r="X11" s="160"/>
      <c r="Y11" s="160"/>
      <c r="Z11" s="53">
        <f t="shared" si="2"/>
        <v>2.2399999999999998</v>
      </c>
      <c r="AA11" s="56">
        <f>Z11*(D11-'Input data'!$H$5)</f>
        <v>67.199999999999989</v>
      </c>
      <c r="AB11" s="145"/>
      <c r="AC11" s="151"/>
      <c r="AD11" s="157"/>
      <c r="AF11" s="126" t="s">
        <v>129</v>
      </c>
      <c r="AG11" s="113">
        <v>126</v>
      </c>
      <c r="AH11" s="136"/>
    </row>
    <row r="12" spans="2:34" x14ac:dyDescent="0.3">
      <c r="B12" s="102" t="str">
        <f t="shared" si="0"/>
        <v>BE1</v>
      </c>
      <c r="C12" s="103" t="str">
        <f t="shared" si="1"/>
        <v>BE1 | Room1</v>
      </c>
      <c r="D12" s="15">
        <f>'Input data'!$D$4</f>
        <v>18</v>
      </c>
      <c r="E12" s="14" t="s">
        <v>37</v>
      </c>
      <c r="F12" s="14" t="s">
        <v>29</v>
      </c>
      <c r="G12" s="13" t="s">
        <v>48</v>
      </c>
      <c r="H12" s="12">
        <f>4*2.8-H13</f>
        <v>8.7999999999999989</v>
      </c>
      <c r="I12" s="11">
        <f>'Input data'!$M$5</f>
        <v>0.3</v>
      </c>
      <c r="J12" s="10">
        <f>'Input data'!$R$5</f>
        <v>0.05</v>
      </c>
      <c r="K12" s="17">
        <f>'Input data'!$H$5</f>
        <v>-12</v>
      </c>
      <c r="L12" s="23" t="s">
        <v>42</v>
      </c>
      <c r="M12" s="23" t="s">
        <v>42</v>
      </c>
      <c r="N12" s="23" t="s">
        <v>42</v>
      </c>
      <c r="O12" s="23" t="s">
        <v>42</v>
      </c>
      <c r="P12" s="23" t="s">
        <v>42</v>
      </c>
      <c r="Q12" s="22">
        <f>(D12-K12)/(D12-'Input data'!$H$5)</f>
        <v>1</v>
      </c>
      <c r="R12" s="40">
        <f>H12*SUM(I12,J12)*Q12</f>
        <v>3.0799999999999996</v>
      </c>
      <c r="S12" s="160"/>
      <c r="T12" s="160"/>
      <c r="U12" s="49" t="s">
        <v>42</v>
      </c>
      <c r="V12" s="160"/>
      <c r="W12" s="49" t="s">
        <v>42</v>
      </c>
      <c r="X12" s="160"/>
      <c r="Y12" s="160"/>
      <c r="Z12" s="53">
        <f t="shared" si="2"/>
        <v>3.0799999999999996</v>
      </c>
      <c r="AA12" s="56">
        <f>Z12*(D12-'Input data'!$H$5)</f>
        <v>92.399999999999991</v>
      </c>
      <c r="AB12" s="145"/>
      <c r="AC12" s="151"/>
      <c r="AD12" s="157"/>
      <c r="AF12" s="127" t="s">
        <v>129</v>
      </c>
      <c r="AG12" s="114">
        <v>127</v>
      </c>
      <c r="AH12" s="136"/>
    </row>
    <row r="13" spans="2:34" ht="13.5" thickBot="1" x14ac:dyDescent="0.35">
      <c r="B13" s="102" t="str">
        <f t="shared" si="0"/>
        <v>BE1</v>
      </c>
      <c r="C13" s="104" t="str">
        <f t="shared" si="1"/>
        <v>BE1 | Room1</v>
      </c>
      <c r="D13" s="84">
        <f>'Input data'!$D$4</f>
        <v>18</v>
      </c>
      <c r="E13" s="43" t="s">
        <v>38</v>
      </c>
      <c r="F13" s="43" t="s">
        <v>29</v>
      </c>
      <c r="G13" s="42" t="s">
        <v>48</v>
      </c>
      <c r="H13" s="44">
        <f>1.5*1.6</f>
        <v>2.4000000000000004</v>
      </c>
      <c r="I13" s="88">
        <f>'Input data'!$Q$5</f>
        <v>1.3</v>
      </c>
      <c r="J13" s="118">
        <f>'Input data'!$R$5</f>
        <v>0.05</v>
      </c>
      <c r="K13" s="119">
        <f>'Input data'!$H$5</f>
        <v>-12</v>
      </c>
      <c r="L13" s="45" t="s">
        <v>42</v>
      </c>
      <c r="M13" s="45" t="s">
        <v>42</v>
      </c>
      <c r="N13" s="45" t="s">
        <v>42</v>
      </c>
      <c r="O13" s="45" t="s">
        <v>42</v>
      </c>
      <c r="P13" s="45" t="s">
        <v>42</v>
      </c>
      <c r="Q13" s="46">
        <f>(D13-K13)/(D13-'Input data'!$H$5)</f>
        <v>1</v>
      </c>
      <c r="R13" s="47">
        <f>H13*SUM(I13,J13)*Q13</f>
        <v>3.2400000000000007</v>
      </c>
      <c r="S13" s="160"/>
      <c r="T13" s="160"/>
      <c r="U13" s="51" t="s">
        <v>42</v>
      </c>
      <c r="V13" s="160"/>
      <c r="W13" s="51" t="s">
        <v>42</v>
      </c>
      <c r="X13" s="160"/>
      <c r="Y13" s="160"/>
      <c r="Z13" s="54">
        <f t="shared" si="2"/>
        <v>3.2400000000000007</v>
      </c>
      <c r="AA13" s="57">
        <f>Z13*(D13-'Input data'!$H$5)</f>
        <v>97.200000000000017</v>
      </c>
      <c r="AB13" s="146"/>
      <c r="AC13" s="151"/>
      <c r="AD13" s="157"/>
      <c r="AF13" s="128" t="s">
        <v>129</v>
      </c>
      <c r="AG13" s="115">
        <v>125</v>
      </c>
      <c r="AH13" s="136" t="s">
        <v>136</v>
      </c>
    </row>
    <row r="14" spans="2:34" x14ac:dyDescent="0.3">
      <c r="B14" s="102" t="str">
        <f t="shared" si="0"/>
        <v>BE1</v>
      </c>
      <c r="C14" s="101" t="s">
        <v>80</v>
      </c>
      <c r="D14" s="83">
        <f>'Input data'!$D$5</f>
        <v>20</v>
      </c>
      <c r="E14" s="35" t="s">
        <v>12</v>
      </c>
      <c r="F14" s="35" t="s">
        <v>27</v>
      </c>
      <c r="G14" s="34" t="s">
        <v>46</v>
      </c>
      <c r="H14" s="36">
        <f>5*5</f>
        <v>25</v>
      </c>
      <c r="I14" s="85">
        <f>'Input data'!$O$5</f>
        <v>0.7</v>
      </c>
      <c r="J14" s="85">
        <f>'Input data'!$R$5</f>
        <v>0.05</v>
      </c>
      <c r="K14" s="117">
        <f>'Input data'!$G$5</f>
        <v>10</v>
      </c>
      <c r="L14" s="37">
        <f>5+5</f>
        <v>10</v>
      </c>
      <c r="M14" s="37">
        <v>0</v>
      </c>
      <c r="N14" s="38">
        <f>H14/(0.5*L14)</f>
        <v>5</v>
      </c>
      <c r="O14" s="38">
        <v>1.45</v>
      </c>
      <c r="P14" s="38">
        <f>0.48/(-10.685+(20.64+N14)^0.4791+(25.48+M14)^0.5626+I14^-0.6376)</f>
        <v>0.32345342867267701</v>
      </c>
      <c r="Q14" s="38">
        <f>(D14-K14)/(D14-'Input data'!$H$5)</f>
        <v>0.3125</v>
      </c>
      <c r="R14" s="39">
        <f>H14*SUM(P14,J14)*Q14*O14</f>
        <v>4.2305271216826696</v>
      </c>
      <c r="S14" s="160"/>
      <c r="T14" s="160"/>
      <c r="U14" s="48" t="s">
        <v>42</v>
      </c>
      <c r="V14" s="160"/>
      <c r="W14" s="48" t="s">
        <v>42</v>
      </c>
      <c r="X14" s="160"/>
      <c r="Y14" s="160"/>
      <c r="Z14" s="52">
        <f>H14*SUM(J14,P14)*O14*Q14</f>
        <v>4.2305271216826696</v>
      </c>
      <c r="AA14" s="55">
        <f>Z14*(D14-'Input data'!$H$5)</f>
        <v>135.37686789384543</v>
      </c>
      <c r="AB14" s="144">
        <f>SUMIFS($AA$6:$AA$36,$C$6:$C$36,C14)</f>
        <v>1202.5368678938455</v>
      </c>
      <c r="AC14" s="151"/>
      <c r="AD14" s="157"/>
      <c r="AF14" s="129" t="s">
        <v>129</v>
      </c>
      <c r="AG14" s="116">
        <v>126</v>
      </c>
      <c r="AH14" s="136"/>
    </row>
    <row r="15" spans="2:34" ht="26.5" thickBot="1" x14ac:dyDescent="0.35">
      <c r="B15" s="102" t="str">
        <f t="shared" si="0"/>
        <v>BE1</v>
      </c>
      <c r="C15" s="103" t="str">
        <f>C14</f>
        <v>BE1 | Room2</v>
      </c>
      <c r="D15" s="15">
        <f>'Input data'!$D$5</f>
        <v>20</v>
      </c>
      <c r="E15" s="14" t="s">
        <v>13</v>
      </c>
      <c r="F15" s="14" t="s">
        <v>28</v>
      </c>
      <c r="G15" s="13" t="s">
        <v>47</v>
      </c>
      <c r="H15" s="12">
        <f>5*5</f>
        <v>25</v>
      </c>
      <c r="I15" s="11">
        <f>'Input data'!$P$5</f>
        <v>0.4</v>
      </c>
      <c r="J15" s="10">
        <f>'Input data'!$R$5</f>
        <v>0.05</v>
      </c>
      <c r="K15" s="18" t="s">
        <v>42</v>
      </c>
      <c r="L15" s="23" t="s">
        <v>42</v>
      </c>
      <c r="M15" s="23" t="s">
        <v>42</v>
      </c>
      <c r="N15" s="23" t="s">
        <v>42</v>
      </c>
      <c r="O15" s="23" t="s">
        <v>42</v>
      </c>
      <c r="P15" s="23" t="s">
        <v>42</v>
      </c>
      <c r="Q15" s="24">
        <v>0.7</v>
      </c>
      <c r="R15" s="40">
        <f>H15*SUM(I15,J15)*Q15</f>
        <v>7.8749999999999991</v>
      </c>
      <c r="S15" s="160"/>
      <c r="T15" s="160"/>
      <c r="U15" s="49" t="s">
        <v>42</v>
      </c>
      <c r="V15" s="160"/>
      <c r="W15" s="49" t="s">
        <v>42</v>
      </c>
      <c r="X15" s="160"/>
      <c r="Y15" s="160"/>
      <c r="Z15" s="53">
        <f t="shared" si="2"/>
        <v>7.8749999999999991</v>
      </c>
      <c r="AA15" s="56">
        <f>Z15*(D15-'Input data'!$H$5)</f>
        <v>251.99999999999997</v>
      </c>
      <c r="AB15" s="145"/>
      <c r="AC15" s="151"/>
      <c r="AD15" s="157"/>
      <c r="AF15" s="130" t="s">
        <v>129</v>
      </c>
      <c r="AG15" s="131">
        <v>127</v>
      </c>
      <c r="AH15" s="137"/>
    </row>
    <row r="16" spans="2:34" x14ac:dyDescent="0.3">
      <c r="B16" s="102" t="str">
        <f t="shared" si="0"/>
        <v>BE1</v>
      </c>
      <c r="C16" s="103" t="str">
        <f t="shared" ref="C16:C21" si="3">C15</f>
        <v>BE1 | Room2</v>
      </c>
      <c r="D16" s="15">
        <f>'Input data'!$D$5</f>
        <v>20</v>
      </c>
      <c r="E16" s="14" t="s">
        <v>33</v>
      </c>
      <c r="F16" s="14" t="s">
        <v>79</v>
      </c>
      <c r="G16" s="13" t="s">
        <v>50</v>
      </c>
      <c r="H16" s="12">
        <f>5*2.8</f>
        <v>14</v>
      </c>
      <c r="I16" s="11">
        <f>'Input data'!$N$5</f>
        <v>1.2</v>
      </c>
      <c r="J16" s="10">
        <f>'Input data'!$R$5</f>
        <v>0.05</v>
      </c>
      <c r="K16" s="17">
        <f>$D$6</f>
        <v>18</v>
      </c>
      <c r="L16" s="23" t="s">
        <v>42</v>
      </c>
      <c r="M16" s="23" t="s">
        <v>42</v>
      </c>
      <c r="N16" s="23" t="s">
        <v>42</v>
      </c>
      <c r="O16" s="23" t="s">
        <v>42</v>
      </c>
      <c r="P16" s="23" t="s">
        <v>42</v>
      </c>
      <c r="Q16" s="22">
        <f>(D16-K16)/(D16-'Input data'!$H$5)</f>
        <v>6.25E-2</v>
      </c>
      <c r="R16" s="41" t="s">
        <v>42</v>
      </c>
      <c r="S16" s="160"/>
      <c r="T16" s="160"/>
      <c r="U16" s="49" t="s">
        <v>42</v>
      </c>
      <c r="V16" s="160"/>
      <c r="W16" s="49" t="s">
        <v>42</v>
      </c>
      <c r="X16" s="160"/>
      <c r="Y16" s="160"/>
      <c r="Z16" s="53">
        <f t="shared" si="2"/>
        <v>1.09375</v>
      </c>
      <c r="AA16" s="56">
        <f>Z16*(D16-'Input data'!$H$5)</f>
        <v>35</v>
      </c>
      <c r="AB16" s="145"/>
      <c r="AC16" s="151"/>
      <c r="AD16" s="157"/>
    </row>
    <row r="17" spans="2:30" x14ac:dyDescent="0.3">
      <c r="B17" s="102" t="str">
        <f t="shared" si="0"/>
        <v>BE1</v>
      </c>
      <c r="C17" s="103" t="str">
        <f t="shared" si="3"/>
        <v>BE1 | Room2</v>
      </c>
      <c r="D17" s="15">
        <f>'Input data'!$D$5</f>
        <v>20</v>
      </c>
      <c r="E17" s="14" t="s">
        <v>34</v>
      </c>
      <c r="F17" s="14" t="s">
        <v>29</v>
      </c>
      <c r="G17" s="13" t="s">
        <v>48</v>
      </c>
      <c r="H17" s="12">
        <f>5*2.8-H18</f>
        <v>6.0200000000000005</v>
      </c>
      <c r="I17" s="11">
        <f>'Input data'!$M$5</f>
        <v>0.3</v>
      </c>
      <c r="J17" s="10">
        <f>'Input data'!$R$5</f>
        <v>0.05</v>
      </c>
      <c r="K17" s="17">
        <f>'Input data'!$H$5</f>
        <v>-12</v>
      </c>
      <c r="L17" s="23" t="s">
        <v>42</v>
      </c>
      <c r="M17" s="23" t="s">
        <v>42</v>
      </c>
      <c r="N17" s="23" t="s">
        <v>42</v>
      </c>
      <c r="O17" s="23" t="s">
        <v>42</v>
      </c>
      <c r="P17" s="23" t="s">
        <v>42</v>
      </c>
      <c r="Q17" s="22">
        <f>(D17-K17)/(D17-'Input data'!$H$5)</f>
        <v>1</v>
      </c>
      <c r="R17" s="40">
        <f t="shared" ref="R17:R18" si="4">H17*SUM(I17,J17)*Q17</f>
        <v>2.1070000000000002</v>
      </c>
      <c r="S17" s="160"/>
      <c r="T17" s="160"/>
      <c r="U17" s="49" t="s">
        <v>42</v>
      </c>
      <c r="V17" s="160"/>
      <c r="W17" s="49" t="s">
        <v>42</v>
      </c>
      <c r="X17" s="160"/>
      <c r="Y17" s="160"/>
      <c r="Z17" s="53">
        <f t="shared" si="2"/>
        <v>2.1070000000000002</v>
      </c>
      <c r="AA17" s="56">
        <f>Z17*(D17-'Input data'!$H$5)</f>
        <v>67.424000000000007</v>
      </c>
      <c r="AB17" s="145"/>
      <c r="AC17" s="151"/>
      <c r="AD17" s="157"/>
    </row>
    <row r="18" spans="2:30" x14ac:dyDescent="0.3">
      <c r="B18" s="102" t="str">
        <f t="shared" si="0"/>
        <v>BE1</v>
      </c>
      <c r="C18" s="103" t="str">
        <f t="shared" si="3"/>
        <v>BE1 | Room2</v>
      </c>
      <c r="D18" s="15">
        <f>'Input data'!$D$5</f>
        <v>20</v>
      </c>
      <c r="E18" s="14" t="s">
        <v>35</v>
      </c>
      <c r="F18" s="14" t="s">
        <v>29</v>
      </c>
      <c r="G18" s="13" t="s">
        <v>48</v>
      </c>
      <c r="H18" s="12">
        <f>3.8*2.1</f>
        <v>7.9799999999999995</v>
      </c>
      <c r="I18" s="11">
        <f>'Input data'!$Q$5</f>
        <v>1.3</v>
      </c>
      <c r="J18" s="10">
        <f>'Input data'!$R$5</f>
        <v>0.05</v>
      </c>
      <c r="K18" s="17">
        <f>'Input data'!$H$5</f>
        <v>-12</v>
      </c>
      <c r="L18" s="23" t="s">
        <v>42</v>
      </c>
      <c r="M18" s="23" t="s">
        <v>42</v>
      </c>
      <c r="N18" s="23" t="s">
        <v>42</v>
      </c>
      <c r="O18" s="23" t="s">
        <v>42</v>
      </c>
      <c r="P18" s="23" t="s">
        <v>42</v>
      </c>
      <c r="Q18" s="22">
        <f>(D18-K18)/(D18-'Input data'!$H$5)</f>
        <v>1</v>
      </c>
      <c r="R18" s="40">
        <f t="shared" si="4"/>
        <v>10.773</v>
      </c>
      <c r="S18" s="160"/>
      <c r="T18" s="160"/>
      <c r="U18" s="49" t="s">
        <v>42</v>
      </c>
      <c r="V18" s="160"/>
      <c r="W18" s="49" t="s">
        <v>42</v>
      </c>
      <c r="X18" s="160"/>
      <c r="Y18" s="160"/>
      <c r="Z18" s="53">
        <f t="shared" si="2"/>
        <v>10.773</v>
      </c>
      <c r="AA18" s="56">
        <f>Z18*(D18-'Input data'!$H$5)</f>
        <v>344.73599999999999</v>
      </c>
      <c r="AB18" s="145"/>
      <c r="AC18" s="151"/>
      <c r="AD18" s="157"/>
    </row>
    <row r="19" spans="2:30" ht="26" x14ac:dyDescent="0.3">
      <c r="B19" s="102" t="str">
        <f t="shared" si="0"/>
        <v>BE1</v>
      </c>
      <c r="C19" s="103" t="str">
        <f t="shared" si="3"/>
        <v>BE1 | Room2</v>
      </c>
      <c r="D19" s="15">
        <f>'Input data'!$D$5</f>
        <v>20</v>
      </c>
      <c r="E19" s="14" t="s">
        <v>36</v>
      </c>
      <c r="F19" s="14" t="s">
        <v>28</v>
      </c>
      <c r="G19" s="13" t="s">
        <v>47</v>
      </c>
      <c r="H19" s="12">
        <f>5*2.8</f>
        <v>14</v>
      </c>
      <c r="I19" s="11">
        <f>'Input data'!$O$5</f>
        <v>0.7</v>
      </c>
      <c r="J19" s="10">
        <f>'Input data'!$R$5</f>
        <v>0.05</v>
      </c>
      <c r="K19" s="18" t="s">
        <v>42</v>
      </c>
      <c r="L19" s="23" t="s">
        <v>42</v>
      </c>
      <c r="M19" s="23" t="s">
        <v>42</v>
      </c>
      <c r="N19" s="23" t="s">
        <v>42</v>
      </c>
      <c r="O19" s="23" t="s">
        <v>42</v>
      </c>
      <c r="P19" s="23" t="s">
        <v>42</v>
      </c>
      <c r="Q19" s="24">
        <v>0.4</v>
      </c>
      <c r="R19" s="40">
        <f>H19*SUM(I19,J19)*Q19</f>
        <v>4.2</v>
      </c>
      <c r="S19" s="160"/>
      <c r="T19" s="160"/>
      <c r="U19" s="49" t="s">
        <v>42</v>
      </c>
      <c r="V19" s="160"/>
      <c r="W19" s="49" t="s">
        <v>42</v>
      </c>
      <c r="X19" s="160"/>
      <c r="Y19" s="160"/>
      <c r="Z19" s="53">
        <f t="shared" si="2"/>
        <v>4.2</v>
      </c>
      <c r="AA19" s="56">
        <f>Z19*(D19-'Input data'!$H$5)</f>
        <v>134.4</v>
      </c>
      <c r="AB19" s="145"/>
      <c r="AC19" s="151"/>
      <c r="AD19" s="157"/>
    </row>
    <row r="20" spans="2:30" x14ac:dyDescent="0.3">
      <c r="B20" s="102" t="str">
        <f t="shared" si="0"/>
        <v>BE1</v>
      </c>
      <c r="C20" s="103" t="str">
        <f t="shared" si="3"/>
        <v>BE1 | Room2</v>
      </c>
      <c r="D20" s="15">
        <f>'Input data'!$D$5</f>
        <v>20</v>
      </c>
      <c r="E20" s="14" t="s">
        <v>37</v>
      </c>
      <c r="F20" s="14" t="s">
        <v>29</v>
      </c>
      <c r="G20" s="13" t="s">
        <v>48</v>
      </c>
      <c r="H20" s="12">
        <f>5*2.8-H21</f>
        <v>11.6</v>
      </c>
      <c r="I20" s="11">
        <f>'Input data'!$M$5</f>
        <v>0.3</v>
      </c>
      <c r="J20" s="10">
        <f>'Input data'!$R$5</f>
        <v>0.05</v>
      </c>
      <c r="K20" s="17">
        <f>'Input data'!$H$5</f>
        <v>-12</v>
      </c>
      <c r="L20" s="23" t="s">
        <v>42</v>
      </c>
      <c r="M20" s="23" t="s">
        <v>42</v>
      </c>
      <c r="N20" s="23" t="s">
        <v>42</v>
      </c>
      <c r="O20" s="23" t="s">
        <v>42</v>
      </c>
      <c r="P20" s="23" t="s">
        <v>42</v>
      </c>
      <c r="Q20" s="22">
        <f>(D20-K20)/(D20-'Input data'!$H$5)</f>
        <v>1</v>
      </c>
      <c r="R20" s="40">
        <f t="shared" ref="R20:R21" si="5">H20*SUM(I20,J20)*Q20</f>
        <v>4.0599999999999996</v>
      </c>
      <c r="S20" s="160"/>
      <c r="T20" s="160"/>
      <c r="U20" s="49" t="s">
        <v>42</v>
      </c>
      <c r="V20" s="160"/>
      <c r="W20" s="49" t="s">
        <v>42</v>
      </c>
      <c r="X20" s="160"/>
      <c r="Y20" s="160"/>
      <c r="Z20" s="53">
        <f t="shared" si="2"/>
        <v>4.0599999999999996</v>
      </c>
      <c r="AA20" s="56">
        <f>Z20*(D20-'Input data'!$H$5)</f>
        <v>129.91999999999999</v>
      </c>
      <c r="AB20" s="145"/>
      <c r="AC20" s="151"/>
      <c r="AD20" s="157"/>
    </row>
    <row r="21" spans="2:30" ht="13.5" thickBot="1" x14ac:dyDescent="0.35">
      <c r="B21" s="105" t="str">
        <f t="shared" si="0"/>
        <v>BE1</v>
      </c>
      <c r="C21" s="104" t="str">
        <f t="shared" si="3"/>
        <v>BE1 | Room2</v>
      </c>
      <c r="D21" s="84">
        <f>'Input data'!$D$5</f>
        <v>20</v>
      </c>
      <c r="E21" s="43" t="s">
        <v>38</v>
      </c>
      <c r="F21" s="43" t="s">
        <v>29</v>
      </c>
      <c r="G21" s="42" t="s">
        <v>48</v>
      </c>
      <c r="H21" s="44">
        <f>1.5*1.6</f>
        <v>2.4000000000000004</v>
      </c>
      <c r="I21" s="88">
        <f>'Input data'!$Q$5</f>
        <v>1.3</v>
      </c>
      <c r="J21" s="118">
        <f>'Input data'!$R$5</f>
        <v>0.05</v>
      </c>
      <c r="K21" s="119">
        <f>'Input data'!$H$5</f>
        <v>-12</v>
      </c>
      <c r="L21" s="45" t="s">
        <v>42</v>
      </c>
      <c r="M21" s="45" t="s">
        <v>42</v>
      </c>
      <c r="N21" s="45" t="s">
        <v>42</v>
      </c>
      <c r="O21" s="45" t="s">
        <v>42</v>
      </c>
      <c r="P21" s="45" t="s">
        <v>42</v>
      </c>
      <c r="Q21" s="46">
        <f>(D21-K21)/(D21-'Input data'!$H$5)</f>
        <v>1</v>
      </c>
      <c r="R21" s="47">
        <f t="shared" si="5"/>
        <v>3.2400000000000007</v>
      </c>
      <c r="S21" s="161"/>
      <c r="T21" s="161"/>
      <c r="U21" s="51" t="s">
        <v>42</v>
      </c>
      <c r="V21" s="161"/>
      <c r="W21" s="51" t="s">
        <v>42</v>
      </c>
      <c r="X21" s="161"/>
      <c r="Y21" s="161"/>
      <c r="Z21" s="54">
        <f t="shared" si="2"/>
        <v>3.2400000000000007</v>
      </c>
      <c r="AA21" s="57">
        <f>Z21*(D21-'Input data'!$H$5)</f>
        <v>103.68000000000002</v>
      </c>
      <c r="AB21" s="146"/>
      <c r="AC21" s="152"/>
      <c r="AD21" s="157"/>
    </row>
    <row r="22" spans="2:30" x14ac:dyDescent="0.3">
      <c r="B22" s="100" t="s">
        <v>30</v>
      </c>
      <c r="C22" s="101" t="s">
        <v>81</v>
      </c>
      <c r="D22" s="83">
        <f>'Input data'!$D$6</f>
        <v>20</v>
      </c>
      <c r="E22" s="35" t="s">
        <v>12</v>
      </c>
      <c r="F22" s="35" t="s">
        <v>27</v>
      </c>
      <c r="G22" s="34" t="s">
        <v>46</v>
      </c>
      <c r="H22" s="36">
        <f>4*6</f>
        <v>24</v>
      </c>
      <c r="I22" s="85">
        <f>'Input data'!$O$5</f>
        <v>0.7</v>
      </c>
      <c r="J22" s="85">
        <f>'Input data'!$R$5</f>
        <v>0.05</v>
      </c>
      <c r="K22" s="117">
        <f>'Input data'!$G$5</f>
        <v>10</v>
      </c>
      <c r="L22" s="37">
        <f>4+6</f>
        <v>10</v>
      </c>
      <c r="M22" s="37">
        <v>0</v>
      </c>
      <c r="N22" s="58">
        <f>H22/(0.5*L22)</f>
        <v>4.8</v>
      </c>
      <c r="O22" s="58">
        <v>1.45</v>
      </c>
      <c r="P22" s="58">
        <f>0.48/(-10.685+(20.64+N22)^0.4791+(25.48+M22)^0.5626+I22^-0.6376)</f>
        <v>0.32736214963674937</v>
      </c>
      <c r="Q22" s="58">
        <f>(D22-K22)/(D22-'Input data'!$H$5)</f>
        <v>0.3125</v>
      </c>
      <c r="R22" s="59">
        <f>H22*SUM(P22,J22)*Q22*O22</f>
        <v>4.103813377299649</v>
      </c>
      <c r="S22" s="162">
        <f>SUM(R22:R36)</f>
        <v>44.53510713562293</v>
      </c>
      <c r="T22" s="162">
        <f>S22*'Input data'!$H$5</f>
        <v>-534.42128562747519</v>
      </c>
      <c r="U22" s="48" t="s">
        <v>42</v>
      </c>
      <c r="V22" s="162">
        <f>SUM(U22:U36)</f>
        <v>8.3999999999999986</v>
      </c>
      <c r="W22" s="48" t="s">
        <v>42</v>
      </c>
      <c r="X22" s="162">
        <f>SUM(W22:W36)</f>
        <v>151.19999999999999</v>
      </c>
      <c r="Y22" s="162">
        <f>MAX((T22+X22)/(S22+V22),'Input data'!$J$5)</f>
        <v>10</v>
      </c>
      <c r="Z22" s="71">
        <f>H22*SUM(J22,P22)*O22*Q22</f>
        <v>4.103813377299649</v>
      </c>
      <c r="AA22" s="74">
        <f>Z22*(D22-'Input data'!$H$5)</f>
        <v>131.32202807358877</v>
      </c>
      <c r="AB22" s="147">
        <f>SUMIFS($AA$6:$AA$36,$C$6:$C$36,C22)</f>
        <v>851.28202807358878</v>
      </c>
      <c r="AC22" s="153">
        <f>SUMIFS($AA$6:$AA$36,$B$6:$B$36,B22,$G$6:$G$36,"ie")+SUMIFS($AA$6:$AA$36,$B$6:$B$36,B22,$G$6:$G$36,"iae")+SUMIFS($AA$6:$AA$36,$B$6:$B$36,B22,$G$6:$G$36,"iaBE")+SUMIFS($AA$6:$AA$36,$B$6:$B$36,B22,$G$6:$G$36,"ig")</f>
        <v>1465.8208408232874</v>
      </c>
      <c r="AD22" s="157"/>
    </row>
    <row r="23" spans="2:30" ht="26" x14ac:dyDescent="0.3">
      <c r="B23" s="102" t="str">
        <f>B22</f>
        <v>BE2</v>
      </c>
      <c r="C23" s="103" t="str">
        <f>C22</f>
        <v>BE2 | Room1</v>
      </c>
      <c r="D23" s="15">
        <f>'Input data'!$D$6</f>
        <v>20</v>
      </c>
      <c r="E23" s="14" t="s">
        <v>13</v>
      </c>
      <c r="F23" s="14" t="s">
        <v>28</v>
      </c>
      <c r="G23" s="13" t="s">
        <v>47</v>
      </c>
      <c r="H23" s="12">
        <f>4*6</f>
        <v>24</v>
      </c>
      <c r="I23" s="11">
        <f>'Input data'!$P$5</f>
        <v>0.4</v>
      </c>
      <c r="J23" s="10">
        <f>'Input data'!$R$5</f>
        <v>0.05</v>
      </c>
      <c r="K23" s="19" t="s">
        <v>42</v>
      </c>
      <c r="L23" s="24" t="s">
        <v>42</v>
      </c>
      <c r="M23" s="23" t="s">
        <v>42</v>
      </c>
      <c r="N23" s="23" t="s">
        <v>42</v>
      </c>
      <c r="O23" s="23" t="s">
        <v>42</v>
      </c>
      <c r="P23" s="23" t="s">
        <v>42</v>
      </c>
      <c r="Q23" s="24">
        <v>0.7</v>
      </c>
      <c r="R23" s="60">
        <f>H23*SUM(I23,J23)*Q23</f>
        <v>7.56</v>
      </c>
      <c r="S23" s="163"/>
      <c r="T23" s="163"/>
      <c r="U23" s="68" t="s">
        <v>42</v>
      </c>
      <c r="V23" s="163"/>
      <c r="W23" s="68" t="s">
        <v>42</v>
      </c>
      <c r="X23" s="163"/>
      <c r="Y23" s="163"/>
      <c r="Z23" s="72">
        <f t="shared" si="2"/>
        <v>7.56</v>
      </c>
      <c r="AA23" s="75">
        <f>Z23*(D23-'Input data'!$H$5)</f>
        <v>241.92</v>
      </c>
      <c r="AB23" s="148"/>
      <c r="AC23" s="154"/>
      <c r="AD23" s="157"/>
    </row>
    <row r="24" spans="2:30" x14ac:dyDescent="0.3">
      <c r="B24" s="102" t="str">
        <f t="shared" ref="B24:B36" si="6">B23</f>
        <v>BE2</v>
      </c>
      <c r="C24" s="103" t="str">
        <f t="shared" ref="C24:C28" si="7">C23</f>
        <v>BE2 | Room1</v>
      </c>
      <c r="D24" s="15">
        <f>'Input data'!$D$6</f>
        <v>20</v>
      </c>
      <c r="E24" s="14" t="s">
        <v>14</v>
      </c>
      <c r="F24" s="14" t="s">
        <v>29</v>
      </c>
      <c r="G24" s="13" t="s">
        <v>48</v>
      </c>
      <c r="H24" s="13">
        <f>5*2.8</f>
        <v>14</v>
      </c>
      <c r="I24" s="11">
        <f>'Input data'!$M$5</f>
        <v>0.3</v>
      </c>
      <c r="J24" s="10">
        <f>'Input data'!$R$5</f>
        <v>0.05</v>
      </c>
      <c r="K24" s="17">
        <f>'Input data'!$H$5</f>
        <v>-12</v>
      </c>
      <c r="L24" s="24" t="s">
        <v>42</v>
      </c>
      <c r="M24" s="23" t="s">
        <v>42</v>
      </c>
      <c r="N24" s="23" t="s">
        <v>42</v>
      </c>
      <c r="O24" s="23" t="s">
        <v>42</v>
      </c>
      <c r="P24" s="23" t="s">
        <v>42</v>
      </c>
      <c r="Q24" s="16">
        <f>(D24-K24)/(D24-'Input data'!$H$5)</f>
        <v>1</v>
      </c>
      <c r="R24" s="60">
        <f>H24*SUM(I24,J24)*Q24</f>
        <v>4.8999999999999995</v>
      </c>
      <c r="S24" s="163"/>
      <c r="T24" s="163"/>
      <c r="U24" s="68" t="s">
        <v>42</v>
      </c>
      <c r="V24" s="163"/>
      <c r="W24" s="68" t="s">
        <v>42</v>
      </c>
      <c r="X24" s="163"/>
      <c r="Y24" s="163"/>
      <c r="Z24" s="72">
        <f t="shared" si="2"/>
        <v>4.8999999999999995</v>
      </c>
      <c r="AA24" s="75">
        <f>Z24*(D24-'Input data'!$H$5)</f>
        <v>156.79999999999998</v>
      </c>
      <c r="AB24" s="148"/>
      <c r="AC24" s="154"/>
      <c r="AD24" s="157"/>
    </row>
    <row r="25" spans="2:30" x14ac:dyDescent="0.3">
      <c r="B25" s="102" t="str">
        <f t="shared" si="6"/>
        <v>BE2</v>
      </c>
      <c r="C25" s="103" t="str">
        <f t="shared" si="7"/>
        <v>BE2 | Room1</v>
      </c>
      <c r="D25" s="15">
        <f>'Input data'!$D$6</f>
        <v>20</v>
      </c>
      <c r="E25" s="14" t="s">
        <v>39</v>
      </c>
      <c r="F25" s="14" t="s">
        <v>82</v>
      </c>
      <c r="G25" s="13" t="s">
        <v>50</v>
      </c>
      <c r="H25" s="13">
        <f>5*2.8</f>
        <v>14</v>
      </c>
      <c r="I25" s="11">
        <f>'Input data'!$N$5</f>
        <v>1.2</v>
      </c>
      <c r="J25" s="10">
        <f>'Input data'!$R$5</f>
        <v>0.05</v>
      </c>
      <c r="K25" s="20">
        <f>D29</f>
        <v>18</v>
      </c>
      <c r="L25" s="24" t="s">
        <v>42</v>
      </c>
      <c r="M25" s="23" t="s">
        <v>42</v>
      </c>
      <c r="N25" s="23" t="s">
        <v>42</v>
      </c>
      <c r="O25" s="23" t="s">
        <v>42</v>
      </c>
      <c r="P25" s="23" t="s">
        <v>42</v>
      </c>
      <c r="Q25" s="16">
        <f>(D25-K25)/(D25-'Input data'!$H$5)</f>
        <v>6.25E-2</v>
      </c>
      <c r="R25" s="61" t="s">
        <v>42</v>
      </c>
      <c r="S25" s="163"/>
      <c r="T25" s="163"/>
      <c r="U25" s="68" t="s">
        <v>42</v>
      </c>
      <c r="V25" s="163"/>
      <c r="W25" s="68" t="s">
        <v>42</v>
      </c>
      <c r="X25" s="163"/>
      <c r="Y25" s="163"/>
      <c r="Z25" s="72">
        <f t="shared" si="2"/>
        <v>1.09375</v>
      </c>
      <c r="AA25" s="75">
        <f>Z25*(D25-'Input data'!$H$5)</f>
        <v>35</v>
      </c>
      <c r="AB25" s="148"/>
      <c r="AC25" s="154"/>
      <c r="AD25" s="157"/>
    </row>
    <row r="26" spans="2:30" x14ac:dyDescent="0.3">
      <c r="B26" s="102" t="str">
        <f t="shared" si="6"/>
        <v>BE2</v>
      </c>
      <c r="C26" s="103" t="str">
        <f t="shared" si="7"/>
        <v>BE2 | Room1</v>
      </c>
      <c r="D26" s="15">
        <f>'Input data'!$D$6</f>
        <v>20</v>
      </c>
      <c r="E26" s="14" t="s">
        <v>17</v>
      </c>
      <c r="F26" s="14" t="s">
        <v>29</v>
      </c>
      <c r="G26" s="13" t="s">
        <v>48</v>
      </c>
      <c r="H26" s="13">
        <f>4*2.8-H27</f>
        <v>8.7999999999999989</v>
      </c>
      <c r="I26" s="11">
        <f>'Input data'!$M$5</f>
        <v>0.3</v>
      </c>
      <c r="J26" s="10">
        <f>'Input data'!$R$5</f>
        <v>0.05</v>
      </c>
      <c r="K26" s="17">
        <f>'Input data'!$H$5</f>
        <v>-12</v>
      </c>
      <c r="L26" s="24" t="s">
        <v>42</v>
      </c>
      <c r="M26" s="23" t="s">
        <v>42</v>
      </c>
      <c r="N26" s="23" t="s">
        <v>42</v>
      </c>
      <c r="O26" s="23" t="s">
        <v>42</v>
      </c>
      <c r="P26" s="23" t="s">
        <v>42</v>
      </c>
      <c r="Q26" s="16">
        <f>(D26-K26)/(D26-'Input data'!$H$5)</f>
        <v>1</v>
      </c>
      <c r="R26" s="60">
        <f>H26*SUM(I26,J26)*Q26</f>
        <v>3.0799999999999996</v>
      </c>
      <c r="S26" s="163"/>
      <c r="T26" s="163"/>
      <c r="U26" s="68" t="s">
        <v>42</v>
      </c>
      <c r="V26" s="163"/>
      <c r="W26" s="68" t="s">
        <v>42</v>
      </c>
      <c r="X26" s="163"/>
      <c r="Y26" s="163"/>
      <c r="Z26" s="72">
        <f t="shared" si="2"/>
        <v>3.0799999999999996</v>
      </c>
      <c r="AA26" s="75">
        <f>Z26*(D26-'Input data'!$H$5)</f>
        <v>98.559999999999988</v>
      </c>
      <c r="AB26" s="148"/>
      <c r="AC26" s="154"/>
      <c r="AD26" s="157"/>
    </row>
    <row r="27" spans="2:30" x14ac:dyDescent="0.3">
      <c r="B27" s="102" t="str">
        <f t="shared" si="6"/>
        <v>BE2</v>
      </c>
      <c r="C27" s="103" t="str">
        <f t="shared" si="7"/>
        <v>BE2 | Room1</v>
      </c>
      <c r="D27" s="15">
        <f>'Input data'!$D$6</f>
        <v>20</v>
      </c>
      <c r="E27" s="14" t="s">
        <v>18</v>
      </c>
      <c r="F27" s="14" t="s">
        <v>29</v>
      </c>
      <c r="G27" s="13" t="s">
        <v>48</v>
      </c>
      <c r="H27" s="13">
        <f>1.5*1.6</f>
        <v>2.4000000000000004</v>
      </c>
      <c r="I27" s="11">
        <f>'Input data'!$Q$5</f>
        <v>1.3</v>
      </c>
      <c r="J27" s="10">
        <f>'Input data'!$R$5</f>
        <v>0.05</v>
      </c>
      <c r="K27" s="17">
        <f>'Input data'!$H$5</f>
        <v>-12</v>
      </c>
      <c r="L27" s="24" t="s">
        <v>42</v>
      </c>
      <c r="M27" s="23" t="s">
        <v>42</v>
      </c>
      <c r="N27" s="23" t="s">
        <v>42</v>
      </c>
      <c r="O27" s="23" t="s">
        <v>42</v>
      </c>
      <c r="P27" s="23" t="s">
        <v>42</v>
      </c>
      <c r="Q27" s="16">
        <f>(D27-K27)/(D27-'Input data'!$H$5)</f>
        <v>1</v>
      </c>
      <c r="R27" s="60">
        <f>H27*SUM(I27,J27)*Q27</f>
        <v>3.2400000000000007</v>
      </c>
      <c r="S27" s="163"/>
      <c r="T27" s="163"/>
      <c r="U27" s="68" t="s">
        <v>42</v>
      </c>
      <c r="V27" s="163"/>
      <c r="W27" s="68" t="s">
        <v>42</v>
      </c>
      <c r="X27" s="163"/>
      <c r="Y27" s="163"/>
      <c r="Z27" s="72">
        <f t="shared" si="2"/>
        <v>3.2400000000000007</v>
      </c>
      <c r="AA27" s="75">
        <f>Z27*(D27-'Input data'!$H$5)</f>
        <v>103.68000000000002</v>
      </c>
      <c r="AB27" s="148"/>
      <c r="AC27" s="154"/>
      <c r="AD27" s="157"/>
    </row>
    <row r="28" spans="2:30" ht="13.5" thickBot="1" x14ac:dyDescent="0.35">
      <c r="B28" s="102" t="str">
        <f t="shared" si="6"/>
        <v>BE2</v>
      </c>
      <c r="C28" s="104" t="str">
        <f t="shared" si="7"/>
        <v>BE2 | Room1</v>
      </c>
      <c r="D28" s="84">
        <f>'Input data'!$D$6</f>
        <v>20</v>
      </c>
      <c r="E28" s="43" t="s">
        <v>19</v>
      </c>
      <c r="F28" s="43" t="s">
        <v>79</v>
      </c>
      <c r="G28" s="42" t="s">
        <v>49</v>
      </c>
      <c r="H28" s="42">
        <f>4*2.8</f>
        <v>11.2</v>
      </c>
      <c r="I28" s="88">
        <f>'Input data'!$O$5</f>
        <v>0.7</v>
      </c>
      <c r="J28" s="118">
        <f>'Input data'!$R$5</f>
        <v>0.05</v>
      </c>
      <c r="K28" s="62">
        <f>Y6</f>
        <v>10</v>
      </c>
      <c r="L28" s="63" t="s">
        <v>42</v>
      </c>
      <c r="M28" s="45" t="s">
        <v>42</v>
      </c>
      <c r="N28" s="45" t="s">
        <v>42</v>
      </c>
      <c r="O28" s="45" t="s">
        <v>42</v>
      </c>
      <c r="P28" s="45" t="s">
        <v>42</v>
      </c>
      <c r="Q28" s="64">
        <f>(D28-K28)/(D28-'Input data'!$H$5)</f>
        <v>0.3125</v>
      </c>
      <c r="R28" s="65" t="s">
        <v>42</v>
      </c>
      <c r="S28" s="163"/>
      <c r="T28" s="163"/>
      <c r="U28" s="69">
        <f>H28*SUM(I28:J28)</f>
        <v>8.3999999999999986</v>
      </c>
      <c r="V28" s="163"/>
      <c r="W28" s="69">
        <f>U28*D6</f>
        <v>151.19999999999999</v>
      </c>
      <c r="X28" s="163"/>
      <c r="Y28" s="163"/>
      <c r="Z28" s="73">
        <f t="shared" si="2"/>
        <v>2.6249999999999996</v>
      </c>
      <c r="AA28" s="76">
        <f>Z28*(D28-'Input data'!$H$5)</f>
        <v>83.999999999999986</v>
      </c>
      <c r="AB28" s="149"/>
      <c r="AC28" s="154"/>
      <c r="AD28" s="157"/>
    </row>
    <row r="29" spans="2:30" x14ac:dyDescent="0.3">
      <c r="B29" s="102" t="str">
        <f t="shared" si="6"/>
        <v>BE2</v>
      </c>
      <c r="C29" s="101" t="s">
        <v>82</v>
      </c>
      <c r="D29" s="83">
        <f>'Input data'!$D$7</f>
        <v>18</v>
      </c>
      <c r="E29" s="35" t="s">
        <v>12</v>
      </c>
      <c r="F29" s="35" t="s">
        <v>27</v>
      </c>
      <c r="G29" s="34" t="s">
        <v>46</v>
      </c>
      <c r="H29" s="34">
        <f>3.5*6</f>
        <v>21</v>
      </c>
      <c r="I29" s="85">
        <f>'Input data'!$O$5</f>
        <v>0.7</v>
      </c>
      <c r="J29" s="85">
        <f>'Input data'!$R$5</f>
        <v>0.05</v>
      </c>
      <c r="K29" s="117">
        <f>'Input data'!$G$5</f>
        <v>10</v>
      </c>
      <c r="L29" s="37">
        <v>3.5</v>
      </c>
      <c r="M29" s="37">
        <v>0</v>
      </c>
      <c r="N29" s="58">
        <f>H29/(0.5*L29)</f>
        <v>12</v>
      </c>
      <c r="O29" s="58">
        <v>1.45</v>
      </c>
      <c r="P29" s="58">
        <f>0.48/(-10.685+(20.64+N29)^0.4791+(25.48+M29)^0.5626+I29^-0.6376)</f>
        <v>0.23254849240434539</v>
      </c>
      <c r="Q29" s="58">
        <f>(D29-K29)/(D29-'Input data'!$H$5)</f>
        <v>0.26666666666666666</v>
      </c>
      <c r="R29" s="59">
        <f>H29*SUM(P29,J29)*Q29*O29</f>
        <v>2.2942937583232847</v>
      </c>
      <c r="S29" s="163"/>
      <c r="T29" s="163"/>
      <c r="U29" s="48" t="s">
        <v>42</v>
      </c>
      <c r="V29" s="163"/>
      <c r="W29" s="48" t="s">
        <v>42</v>
      </c>
      <c r="X29" s="163"/>
      <c r="Y29" s="163"/>
      <c r="Z29" s="71">
        <f>H29*SUM(J29,P29)*O29*Q29</f>
        <v>2.2942937583232847</v>
      </c>
      <c r="AA29" s="59">
        <f>Z29*(D29-'Input data'!$H$5)</f>
        <v>68.828812749698542</v>
      </c>
      <c r="AB29" s="147">
        <f>SUMIFS($AA$6:$AA$36,$C$6:$C$36,C29)</f>
        <v>607.53881274969854</v>
      </c>
      <c r="AC29" s="154"/>
      <c r="AD29" s="157"/>
    </row>
    <row r="30" spans="2:30" ht="26" x14ac:dyDescent="0.3">
      <c r="B30" s="102" t="str">
        <f t="shared" si="6"/>
        <v>BE2</v>
      </c>
      <c r="C30" s="103" t="str">
        <f>C29</f>
        <v>BE2 | Room2</v>
      </c>
      <c r="D30" s="15">
        <f>'Input data'!$D$7</f>
        <v>18</v>
      </c>
      <c r="E30" s="14" t="s">
        <v>13</v>
      </c>
      <c r="F30" s="14" t="s">
        <v>28</v>
      </c>
      <c r="G30" s="13" t="s">
        <v>47</v>
      </c>
      <c r="H30" s="13">
        <f>3.5*6</f>
        <v>21</v>
      </c>
      <c r="I30" s="11">
        <f>'Input data'!$P$5</f>
        <v>0.4</v>
      </c>
      <c r="J30" s="10">
        <f>'Input data'!$R$5</f>
        <v>0.05</v>
      </c>
      <c r="K30" s="19" t="s">
        <v>42</v>
      </c>
      <c r="L30" s="24" t="s">
        <v>42</v>
      </c>
      <c r="M30" s="23" t="s">
        <v>42</v>
      </c>
      <c r="N30" s="23" t="s">
        <v>42</v>
      </c>
      <c r="O30" s="23" t="s">
        <v>42</v>
      </c>
      <c r="P30" s="23" t="s">
        <v>42</v>
      </c>
      <c r="Q30" s="24">
        <v>0.7</v>
      </c>
      <c r="R30" s="60">
        <f>H30*SUM(I30,J30)*Q30</f>
        <v>6.6150000000000002</v>
      </c>
      <c r="S30" s="163"/>
      <c r="T30" s="163"/>
      <c r="U30" s="68" t="s">
        <v>42</v>
      </c>
      <c r="V30" s="163"/>
      <c r="W30" s="68" t="s">
        <v>42</v>
      </c>
      <c r="X30" s="163"/>
      <c r="Y30" s="163"/>
      <c r="Z30" s="72">
        <f t="shared" si="2"/>
        <v>6.6150000000000002</v>
      </c>
      <c r="AA30" s="77">
        <f>Z30*(D30-'Input data'!$H$5)</f>
        <v>198.45000000000002</v>
      </c>
      <c r="AB30" s="148"/>
      <c r="AC30" s="154"/>
      <c r="AD30" s="157"/>
    </row>
    <row r="31" spans="2:30" x14ac:dyDescent="0.3">
      <c r="B31" s="102" t="str">
        <f t="shared" si="6"/>
        <v>BE2</v>
      </c>
      <c r="C31" s="103" t="str">
        <f t="shared" ref="C31:C36" si="8">C30</f>
        <v>BE2 | Room2</v>
      </c>
      <c r="D31" s="15">
        <f>'Input data'!$D$7</f>
        <v>18</v>
      </c>
      <c r="E31" s="14" t="s">
        <v>33</v>
      </c>
      <c r="F31" s="14" t="s">
        <v>8</v>
      </c>
      <c r="G31" s="13" t="s">
        <v>50</v>
      </c>
      <c r="H31" s="13">
        <f>6*2.8</f>
        <v>16.799999999999997</v>
      </c>
      <c r="I31" s="11">
        <f>'Input data'!$N$5</f>
        <v>1.2</v>
      </c>
      <c r="J31" s="10">
        <f>'Input data'!$R$5</f>
        <v>0.05</v>
      </c>
      <c r="K31" s="20">
        <f>$D$22</f>
        <v>20</v>
      </c>
      <c r="L31" s="24" t="s">
        <v>42</v>
      </c>
      <c r="M31" s="23" t="s">
        <v>42</v>
      </c>
      <c r="N31" s="23" t="s">
        <v>42</v>
      </c>
      <c r="O31" s="23" t="s">
        <v>42</v>
      </c>
      <c r="P31" s="23" t="s">
        <v>42</v>
      </c>
      <c r="Q31" s="16">
        <f>(D31-K31)/(D31-'Input data'!$H$5)</f>
        <v>-6.6666666666666666E-2</v>
      </c>
      <c r="R31" s="61" t="s">
        <v>42</v>
      </c>
      <c r="S31" s="163"/>
      <c r="T31" s="163"/>
      <c r="U31" s="68" t="s">
        <v>42</v>
      </c>
      <c r="V31" s="163"/>
      <c r="W31" s="68" t="s">
        <v>42</v>
      </c>
      <c r="X31" s="163"/>
      <c r="Y31" s="163"/>
      <c r="Z31" s="72">
        <f t="shared" si="2"/>
        <v>-1.3999999999999997</v>
      </c>
      <c r="AA31" s="77">
        <f>Z31*(D31-'Input data'!$H$5)</f>
        <v>-41.999999999999993</v>
      </c>
      <c r="AB31" s="148"/>
      <c r="AC31" s="154"/>
      <c r="AD31" s="157"/>
    </row>
    <row r="32" spans="2:30" ht="26" x14ac:dyDescent="0.3">
      <c r="B32" s="102" t="str">
        <f t="shared" si="6"/>
        <v>BE2</v>
      </c>
      <c r="C32" s="103" t="str">
        <f t="shared" si="8"/>
        <v>BE2 | Room2</v>
      </c>
      <c r="D32" s="15">
        <f>'Input data'!$D$7</f>
        <v>18</v>
      </c>
      <c r="E32" s="14" t="s">
        <v>39</v>
      </c>
      <c r="F32" s="14" t="s">
        <v>28</v>
      </c>
      <c r="G32" s="13" t="s">
        <v>47</v>
      </c>
      <c r="H32" s="13">
        <f>6*2.8-SUM(H33:H34)</f>
        <v>11.249999999999996</v>
      </c>
      <c r="I32" s="11">
        <f>'Input data'!$O$5</f>
        <v>0.7</v>
      </c>
      <c r="J32" s="10">
        <f>'Input data'!$R$5</f>
        <v>0.05</v>
      </c>
      <c r="K32" s="19" t="s">
        <v>42</v>
      </c>
      <c r="L32" s="24" t="s">
        <v>42</v>
      </c>
      <c r="M32" s="23" t="s">
        <v>42</v>
      </c>
      <c r="N32" s="23" t="s">
        <v>42</v>
      </c>
      <c r="O32" s="23" t="s">
        <v>42</v>
      </c>
      <c r="P32" s="23" t="s">
        <v>42</v>
      </c>
      <c r="Q32" s="24">
        <v>0.4</v>
      </c>
      <c r="R32" s="60">
        <f t="shared" ref="R32:R34" si="9">H32*SUM(I32,J32)*Q32</f>
        <v>3.3749999999999987</v>
      </c>
      <c r="S32" s="163"/>
      <c r="T32" s="163"/>
      <c r="U32" s="68" t="s">
        <v>42</v>
      </c>
      <c r="V32" s="163"/>
      <c r="W32" s="68" t="s">
        <v>42</v>
      </c>
      <c r="X32" s="163"/>
      <c r="Y32" s="163"/>
      <c r="Z32" s="72">
        <f t="shared" si="2"/>
        <v>3.3749999999999987</v>
      </c>
      <c r="AA32" s="77">
        <f>Z32*(D32-'Input data'!$H$5)</f>
        <v>101.24999999999996</v>
      </c>
      <c r="AB32" s="148"/>
      <c r="AC32" s="154"/>
      <c r="AD32" s="157"/>
    </row>
    <row r="33" spans="2:30" ht="26" x14ac:dyDescent="0.3">
      <c r="B33" s="102" t="str">
        <f t="shared" si="6"/>
        <v>BE2</v>
      </c>
      <c r="C33" s="103" t="str">
        <f t="shared" si="8"/>
        <v>BE2 | Room2</v>
      </c>
      <c r="D33" s="15">
        <f>'Input data'!$D$7</f>
        <v>18</v>
      </c>
      <c r="E33" s="14" t="s">
        <v>40</v>
      </c>
      <c r="F33" s="14" t="s">
        <v>28</v>
      </c>
      <c r="G33" s="13" t="s">
        <v>47</v>
      </c>
      <c r="H33" s="13">
        <f>1.5*2.1</f>
        <v>3.1500000000000004</v>
      </c>
      <c r="I33" s="11">
        <f>'Input data'!$Q$5</f>
        <v>1.3</v>
      </c>
      <c r="J33" s="10">
        <f>'Input data'!$R$5</f>
        <v>0.05</v>
      </c>
      <c r="K33" s="19" t="s">
        <v>42</v>
      </c>
      <c r="L33" s="24" t="s">
        <v>42</v>
      </c>
      <c r="M33" s="23" t="s">
        <v>42</v>
      </c>
      <c r="N33" s="23" t="s">
        <v>42</v>
      </c>
      <c r="O33" s="23" t="s">
        <v>42</v>
      </c>
      <c r="P33" s="23" t="s">
        <v>42</v>
      </c>
      <c r="Q33" s="24">
        <v>0.4</v>
      </c>
      <c r="R33" s="60">
        <f t="shared" si="9"/>
        <v>1.7010000000000003</v>
      </c>
      <c r="S33" s="163"/>
      <c r="T33" s="163"/>
      <c r="U33" s="68" t="s">
        <v>42</v>
      </c>
      <c r="V33" s="163"/>
      <c r="W33" s="68" t="s">
        <v>42</v>
      </c>
      <c r="X33" s="163"/>
      <c r="Y33" s="163"/>
      <c r="Z33" s="72">
        <f t="shared" si="2"/>
        <v>1.7010000000000003</v>
      </c>
      <c r="AA33" s="77">
        <f>Z33*(D33-'Input data'!$H$5)</f>
        <v>51.030000000000008</v>
      </c>
      <c r="AB33" s="148"/>
      <c r="AC33" s="154"/>
      <c r="AD33" s="157"/>
    </row>
    <row r="34" spans="2:30" ht="26" x14ac:dyDescent="0.3">
      <c r="B34" s="102" t="str">
        <f t="shared" si="6"/>
        <v>BE2</v>
      </c>
      <c r="C34" s="103" t="str">
        <f t="shared" si="8"/>
        <v>BE2 | Room2</v>
      </c>
      <c r="D34" s="15">
        <f>'Input data'!$D$7</f>
        <v>18</v>
      </c>
      <c r="E34" s="14" t="s">
        <v>41</v>
      </c>
      <c r="F34" s="14" t="s">
        <v>28</v>
      </c>
      <c r="G34" s="13" t="s">
        <v>47</v>
      </c>
      <c r="H34" s="13">
        <f>1.5*1.6</f>
        <v>2.4000000000000004</v>
      </c>
      <c r="I34" s="11">
        <f>'Input data'!$Q$5</f>
        <v>1.3</v>
      </c>
      <c r="J34" s="10">
        <f>'Input data'!$R$5</f>
        <v>0.05</v>
      </c>
      <c r="K34" s="19" t="s">
        <v>42</v>
      </c>
      <c r="L34" s="24" t="s">
        <v>42</v>
      </c>
      <c r="M34" s="23" t="s">
        <v>42</v>
      </c>
      <c r="N34" s="23" t="s">
        <v>42</v>
      </c>
      <c r="O34" s="23" t="s">
        <v>42</v>
      </c>
      <c r="P34" s="23" t="s">
        <v>42</v>
      </c>
      <c r="Q34" s="24">
        <v>0.4</v>
      </c>
      <c r="R34" s="60">
        <f t="shared" si="9"/>
        <v>1.2960000000000003</v>
      </c>
      <c r="S34" s="163"/>
      <c r="T34" s="163"/>
      <c r="U34" s="68" t="s">
        <v>42</v>
      </c>
      <c r="V34" s="163"/>
      <c r="W34" s="68" t="s">
        <v>42</v>
      </c>
      <c r="X34" s="163"/>
      <c r="Y34" s="163"/>
      <c r="Z34" s="72">
        <f t="shared" si="2"/>
        <v>1.2960000000000003</v>
      </c>
      <c r="AA34" s="77">
        <f>Z34*(D34-'Input data'!$H$5)</f>
        <v>38.88000000000001</v>
      </c>
      <c r="AB34" s="148"/>
      <c r="AC34" s="154"/>
      <c r="AD34" s="157"/>
    </row>
    <row r="35" spans="2:30" x14ac:dyDescent="0.3">
      <c r="B35" s="102" t="str">
        <f t="shared" si="6"/>
        <v>BE2</v>
      </c>
      <c r="C35" s="103" t="str">
        <f t="shared" si="8"/>
        <v>BE2 | Room2</v>
      </c>
      <c r="D35" s="15">
        <f>'Input data'!$D$7</f>
        <v>18</v>
      </c>
      <c r="E35" s="14" t="s">
        <v>17</v>
      </c>
      <c r="F35" s="14" t="s">
        <v>29</v>
      </c>
      <c r="G35" s="13" t="s">
        <v>48</v>
      </c>
      <c r="H35" s="13">
        <f>3.5*2.8</f>
        <v>9.7999999999999989</v>
      </c>
      <c r="I35" s="11">
        <f>'Input data'!$M$5</f>
        <v>0.3</v>
      </c>
      <c r="J35" s="10">
        <f>'Input data'!$R$5</f>
        <v>0.05</v>
      </c>
      <c r="K35" s="17">
        <f>'Input data'!$H$5</f>
        <v>-12</v>
      </c>
      <c r="L35" s="24" t="s">
        <v>42</v>
      </c>
      <c r="M35" s="23" t="s">
        <v>42</v>
      </c>
      <c r="N35" s="23" t="s">
        <v>42</v>
      </c>
      <c r="O35" s="23" t="s">
        <v>42</v>
      </c>
      <c r="P35" s="23" t="s">
        <v>42</v>
      </c>
      <c r="Q35" s="16">
        <f>(D35-K35)/(D35-'Input data'!$H$5)</f>
        <v>1</v>
      </c>
      <c r="R35" s="60">
        <f>H35*SUM(I35,J35)*Q35</f>
        <v>3.4299999999999993</v>
      </c>
      <c r="S35" s="163"/>
      <c r="T35" s="163"/>
      <c r="U35" s="68" t="s">
        <v>42</v>
      </c>
      <c r="V35" s="163"/>
      <c r="W35" s="68" t="s">
        <v>42</v>
      </c>
      <c r="X35" s="163"/>
      <c r="Y35" s="163"/>
      <c r="Z35" s="72">
        <f t="shared" si="2"/>
        <v>3.4299999999999993</v>
      </c>
      <c r="AA35" s="77">
        <f>Z35*(D35-'Input data'!$H$5)</f>
        <v>102.89999999999998</v>
      </c>
      <c r="AB35" s="148"/>
      <c r="AC35" s="154"/>
      <c r="AD35" s="157"/>
    </row>
    <row r="36" spans="2:30" ht="26.5" thickBot="1" x14ac:dyDescent="0.35">
      <c r="B36" s="105" t="str">
        <f t="shared" si="6"/>
        <v>BE2</v>
      </c>
      <c r="C36" s="104" t="str">
        <f t="shared" si="8"/>
        <v>BE2 | Room2</v>
      </c>
      <c r="D36" s="84">
        <f>'Input data'!$D$7</f>
        <v>18</v>
      </c>
      <c r="E36" s="43" t="s">
        <v>19</v>
      </c>
      <c r="F36" s="43" t="s">
        <v>28</v>
      </c>
      <c r="G36" s="42" t="s">
        <v>47</v>
      </c>
      <c r="H36" s="42">
        <f>3.5*2.8</f>
        <v>9.7999999999999989</v>
      </c>
      <c r="I36" s="88">
        <f>'Input data'!$O$5</f>
        <v>0.7</v>
      </c>
      <c r="J36" s="118">
        <f>'Input data'!$R$5</f>
        <v>0.05</v>
      </c>
      <c r="K36" s="66" t="s">
        <v>42</v>
      </c>
      <c r="L36" s="63" t="s">
        <v>42</v>
      </c>
      <c r="M36" s="45" t="s">
        <v>42</v>
      </c>
      <c r="N36" s="45" t="s">
        <v>42</v>
      </c>
      <c r="O36" s="45" t="s">
        <v>42</v>
      </c>
      <c r="P36" s="45" t="s">
        <v>42</v>
      </c>
      <c r="Q36" s="63">
        <v>0.4</v>
      </c>
      <c r="R36" s="67">
        <f>H36*SUM(I36,J36)*Q36</f>
        <v>2.94</v>
      </c>
      <c r="S36" s="164"/>
      <c r="T36" s="164"/>
      <c r="U36" s="70" t="s">
        <v>42</v>
      </c>
      <c r="V36" s="164"/>
      <c r="W36" s="70" t="s">
        <v>42</v>
      </c>
      <c r="X36" s="164"/>
      <c r="Y36" s="164"/>
      <c r="Z36" s="73">
        <f t="shared" si="2"/>
        <v>2.94</v>
      </c>
      <c r="AA36" s="78">
        <f>Z36*(D36-'Input data'!$H$5)</f>
        <v>88.2</v>
      </c>
      <c r="AB36" s="149"/>
      <c r="AC36" s="155"/>
      <c r="AD36" s="158"/>
    </row>
    <row r="37" spans="2:30" ht="13.5" thickBot="1" x14ac:dyDescent="0.35">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row>
    <row r="38" spans="2:30" ht="18.5" thickBot="1" x14ac:dyDescent="0.35">
      <c r="B38" s="138" t="s">
        <v>126</v>
      </c>
      <c r="C38" s="139"/>
      <c r="D38" s="139"/>
      <c r="E38" s="139"/>
      <c r="F38" s="139"/>
      <c r="G38" s="139"/>
      <c r="H38" s="139"/>
      <c r="I38" s="139"/>
      <c r="J38" s="139"/>
      <c r="K38" s="140"/>
      <c r="M38" s="138" t="s">
        <v>128</v>
      </c>
      <c r="N38" s="139"/>
      <c r="O38" s="139"/>
      <c r="P38" s="139"/>
      <c r="Q38" s="140"/>
    </row>
    <row r="39" spans="2:30" ht="80.25" customHeight="1" x14ac:dyDescent="0.3">
      <c r="B39" s="25" t="s">
        <v>92</v>
      </c>
      <c r="C39" s="26" t="s">
        <v>51</v>
      </c>
      <c r="D39" s="26" t="s">
        <v>10</v>
      </c>
      <c r="E39" s="26" t="s">
        <v>54</v>
      </c>
      <c r="F39" s="26" t="s">
        <v>93</v>
      </c>
      <c r="G39" s="26" t="s">
        <v>95</v>
      </c>
      <c r="H39" s="26" t="s">
        <v>98</v>
      </c>
      <c r="I39" s="141" t="s">
        <v>115</v>
      </c>
      <c r="J39" s="142"/>
      <c r="K39" s="143"/>
      <c r="M39" s="25" t="s">
        <v>92</v>
      </c>
      <c r="N39" s="26" t="s">
        <v>10</v>
      </c>
      <c r="O39" s="167" t="s">
        <v>113</v>
      </c>
      <c r="P39" s="167"/>
      <c r="Q39" s="168"/>
    </row>
    <row r="40" spans="2:30" ht="26" x14ac:dyDescent="0.3">
      <c r="B40" s="28" t="s">
        <v>69</v>
      </c>
      <c r="C40" s="8" t="s">
        <v>42</v>
      </c>
      <c r="D40" s="8" t="s">
        <v>7</v>
      </c>
      <c r="E40" s="8" t="s">
        <v>0</v>
      </c>
      <c r="F40" s="8" t="s">
        <v>94</v>
      </c>
      <c r="G40" s="8" t="s">
        <v>96</v>
      </c>
      <c r="H40" s="8" t="s">
        <v>99</v>
      </c>
      <c r="I40" s="8" t="s">
        <v>101</v>
      </c>
      <c r="J40" s="8" t="s">
        <v>105</v>
      </c>
      <c r="K40" s="29" t="s">
        <v>106</v>
      </c>
      <c r="M40" s="28" t="s">
        <v>69</v>
      </c>
      <c r="N40" s="8" t="s">
        <v>7</v>
      </c>
      <c r="O40" s="8" t="s">
        <v>108</v>
      </c>
      <c r="P40" s="8" t="s">
        <v>109</v>
      </c>
      <c r="Q40" s="29" t="s">
        <v>110</v>
      </c>
    </row>
    <row r="41" spans="2:30" ht="13.5" thickBot="1" x14ac:dyDescent="0.35">
      <c r="B41" s="30" t="s">
        <v>42</v>
      </c>
      <c r="C41" s="31" t="s">
        <v>42</v>
      </c>
      <c r="D41" s="31" t="s">
        <v>42</v>
      </c>
      <c r="E41" s="31" t="s">
        <v>3</v>
      </c>
      <c r="F41" s="31" t="s">
        <v>4</v>
      </c>
      <c r="G41" s="31" t="s">
        <v>97</v>
      </c>
      <c r="H41" s="31" t="s">
        <v>100</v>
      </c>
      <c r="I41" s="31" t="s">
        <v>78</v>
      </c>
      <c r="J41" s="31" t="s">
        <v>78</v>
      </c>
      <c r="K41" s="33" t="s">
        <v>78</v>
      </c>
      <c r="M41" s="30" t="s">
        <v>42</v>
      </c>
      <c r="N41" s="31" t="s">
        <v>42</v>
      </c>
      <c r="O41" s="169" t="s">
        <v>78</v>
      </c>
      <c r="P41" s="169"/>
      <c r="Q41" s="170"/>
    </row>
    <row r="42" spans="2:30" ht="26" x14ac:dyDescent="0.3">
      <c r="B42" s="178" t="s">
        <v>32</v>
      </c>
      <c r="C42" s="176" t="s">
        <v>52</v>
      </c>
      <c r="D42" s="98" t="s">
        <v>79</v>
      </c>
      <c r="E42" s="85">
        <f>'Input data'!$D$4</f>
        <v>18</v>
      </c>
      <c r="F42" s="85">
        <f>'Input data'!$E$4</f>
        <v>0.5</v>
      </c>
      <c r="G42" s="86">
        <f>6.55*3.55*2.6</f>
        <v>60.456499999999998</v>
      </c>
      <c r="H42" s="86">
        <f>G42*F42</f>
        <v>30.228249999999999</v>
      </c>
      <c r="I42" s="87">
        <f>'Input data'!$K$5*H42*(E42-'Input data'!$H$5)</f>
        <v>308.32815000000005</v>
      </c>
      <c r="J42" s="144">
        <f>0.5*SUM(I42:I43)</f>
        <v>300.57215500000007</v>
      </c>
      <c r="K42" s="156">
        <f>SUM(J42:J45)</f>
        <v>552.13756000000012</v>
      </c>
      <c r="M42" s="165" t="s">
        <v>32</v>
      </c>
      <c r="N42" s="106" t="s">
        <v>79</v>
      </c>
      <c r="O42" s="87">
        <f>AB6+I42</f>
        <v>1171.6603893559591</v>
      </c>
      <c r="P42" s="150">
        <f>AC6+J42</f>
        <v>2366.4412622498039</v>
      </c>
      <c r="Q42" s="173">
        <f>AD6+K42</f>
        <v>3932.6275080730916</v>
      </c>
    </row>
    <row r="43" spans="2:30" ht="26.5" thickBot="1" x14ac:dyDescent="0.35">
      <c r="B43" s="179"/>
      <c r="C43" s="177"/>
      <c r="D43" s="99" t="s">
        <v>80</v>
      </c>
      <c r="E43" s="88">
        <f>'Input data'!$D$5</f>
        <v>20</v>
      </c>
      <c r="F43" s="88">
        <f>'Input data'!$E$5</f>
        <v>0.5</v>
      </c>
      <c r="G43" s="89">
        <f>4.55*4.55*2.6</f>
        <v>53.826499999999996</v>
      </c>
      <c r="H43" s="89">
        <f t="shared" ref="H43:H45" si="10">G43*F43</f>
        <v>26.913249999999998</v>
      </c>
      <c r="I43" s="90">
        <f>'Input data'!$K$5*H43*(E43-'Input data'!$H$5)</f>
        <v>292.81616000000002</v>
      </c>
      <c r="J43" s="146"/>
      <c r="K43" s="157"/>
      <c r="M43" s="166"/>
      <c r="N43" s="107" t="s">
        <v>80</v>
      </c>
      <c r="O43" s="108">
        <f>AB14+I43</f>
        <v>1495.3530278938456</v>
      </c>
      <c r="P43" s="152"/>
      <c r="Q43" s="174"/>
    </row>
    <row r="44" spans="2:30" ht="26" x14ac:dyDescent="0.3">
      <c r="B44" s="178" t="s">
        <v>30</v>
      </c>
      <c r="C44" s="176" t="s">
        <v>52</v>
      </c>
      <c r="D44" s="98" t="s">
        <v>81</v>
      </c>
      <c r="E44" s="85">
        <f>'Input data'!$D$6</f>
        <v>20</v>
      </c>
      <c r="F44" s="85">
        <f>'Input data'!$E$6</f>
        <v>0.5</v>
      </c>
      <c r="G44" s="91">
        <f>5.55*3.55*2.6</f>
        <v>51.226499999999994</v>
      </c>
      <c r="H44" s="91">
        <f t="shared" si="10"/>
        <v>25.613249999999997</v>
      </c>
      <c r="I44" s="92">
        <f>'Input data'!$K$5*H44*(E44-'Input data'!$H$5)</f>
        <v>278.67215999999996</v>
      </c>
      <c r="J44" s="147">
        <f>0.5*SUM(I44:I45)</f>
        <v>251.565405</v>
      </c>
      <c r="K44" s="157"/>
      <c r="M44" s="165" t="s">
        <v>30</v>
      </c>
      <c r="N44" s="106" t="s">
        <v>81</v>
      </c>
      <c r="O44" s="92">
        <f>AB22+I44</f>
        <v>1129.9541880735887</v>
      </c>
      <c r="P44" s="171">
        <f>AC22+J44</f>
        <v>1717.3862458232875</v>
      </c>
      <c r="Q44" s="174"/>
    </row>
    <row r="45" spans="2:30" ht="26.5" thickBot="1" x14ac:dyDescent="0.35">
      <c r="B45" s="179"/>
      <c r="C45" s="177"/>
      <c r="D45" s="99" t="s">
        <v>82</v>
      </c>
      <c r="E45" s="88">
        <f>'Input data'!$D$7</f>
        <v>18</v>
      </c>
      <c r="F45" s="88">
        <f>'Input data'!$E$7</f>
        <v>0.5</v>
      </c>
      <c r="G45" s="93">
        <f>5.55*3.05*2.6</f>
        <v>44.011499999999998</v>
      </c>
      <c r="H45" s="93">
        <f t="shared" si="10"/>
        <v>22.005749999999999</v>
      </c>
      <c r="I45" s="94">
        <f>'Input data'!$K$5*H45*(E45-'Input data'!$H$5)</f>
        <v>224.45865000000001</v>
      </c>
      <c r="J45" s="149"/>
      <c r="K45" s="158"/>
      <c r="M45" s="166"/>
      <c r="N45" s="107" t="s">
        <v>82</v>
      </c>
      <c r="O45" s="109">
        <f>AB29+I45</f>
        <v>831.99746274969857</v>
      </c>
      <c r="P45" s="172"/>
      <c r="Q45" s="175"/>
    </row>
    <row r="47" spans="2:30" x14ac:dyDescent="0.3">
      <c r="E47" s="6"/>
    </row>
    <row r="48" spans="2:30" x14ac:dyDescent="0.3">
      <c r="E48" s="6"/>
    </row>
    <row r="49" spans="5:5" x14ac:dyDescent="0.3">
      <c r="E49" s="6"/>
    </row>
    <row r="50" spans="5:5" x14ac:dyDescent="0.3">
      <c r="E50" s="6"/>
    </row>
    <row r="51" spans="5:5" x14ac:dyDescent="0.3">
      <c r="E51" s="6"/>
    </row>
    <row r="52" spans="5:5" x14ac:dyDescent="0.3">
      <c r="E52" s="6"/>
    </row>
    <row r="53" spans="5:5" x14ac:dyDescent="0.3">
      <c r="E53" s="6"/>
    </row>
  </sheetData>
  <mergeCells count="47">
    <mergeCell ref="R5:S5"/>
    <mergeCell ref="R4:S4"/>
    <mergeCell ref="R3:S3"/>
    <mergeCell ref="S6:S21"/>
    <mergeCell ref="S22:S36"/>
    <mergeCell ref="W5:X5"/>
    <mergeCell ref="W4:X4"/>
    <mergeCell ref="W3:X3"/>
    <mergeCell ref="V6:V21"/>
    <mergeCell ref="V22:V36"/>
    <mergeCell ref="U3:V3"/>
    <mergeCell ref="U4:V4"/>
    <mergeCell ref="U5:V5"/>
    <mergeCell ref="Y6:Y21"/>
    <mergeCell ref="B42:B43"/>
    <mergeCell ref="C42:C43"/>
    <mergeCell ref="I39:K39"/>
    <mergeCell ref="X6:X21"/>
    <mergeCell ref="X22:X36"/>
    <mergeCell ref="M42:M43"/>
    <mergeCell ref="C44:C45"/>
    <mergeCell ref="B44:B45"/>
    <mergeCell ref="J42:J43"/>
    <mergeCell ref="J44:J45"/>
    <mergeCell ref="K42:K45"/>
    <mergeCell ref="M44:M45"/>
    <mergeCell ref="O39:Q39"/>
    <mergeCell ref="O41:Q41"/>
    <mergeCell ref="P42:P43"/>
    <mergeCell ref="P44:P45"/>
    <mergeCell ref="Q42:Q45"/>
    <mergeCell ref="AH10:AH12"/>
    <mergeCell ref="AH13:AH15"/>
    <mergeCell ref="B38:K38"/>
    <mergeCell ref="B2:AD2"/>
    <mergeCell ref="M38:Q38"/>
    <mergeCell ref="AB3:AD3"/>
    <mergeCell ref="AB6:AB13"/>
    <mergeCell ref="AB14:AB21"/>
    <mergeCell ref="AB22:AB28"/>
    <mergeCell ref="AB29:AB36"/>
    <mergeCell ref="AC6:AC21"/>
    <mergeCell ref="AC22:AC36"/>
    <mergeCell ref="AD6:AD36"/>
    <mergeCell ref="T6:T21"/>
    <mergeCell ref="T22:T36"/>
    <mergeCell ref="Y22:Y36"/>
  </mergeCells>
  <pageMargins left="0.7" right="0.7" top="0.78740157499999996" bottom="0.78740157499999996"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
  <sheetViews>
    <sheetView workbookViewId="0">
      <selection activeCell="E2" sqref="E2"/>
    </sheetView>
  </sheetViews>
  <sheetFormatPr defaultColWidth="11.5546875" defaultRowHeight="13" x14ac:dyDescent="0.3"/>
  <cols>
    <col min="2" max="2" width="28.6640625" bestFit="1" customWidth="1"/>
  </cols>
  <sheetData>
    <row r="1" spans="1:18" ht="56.25" customHeight="1" x14ac:dyDescent="0.3">
      <c r="A1" s="25" t="s">
        <v>133</v>
      </c>
      <c r="B1" s="26" t="s">
        <v>51</v>
      </c>
      <c r="C1" s="26" t="s">
        <v>10</v>
      </c>
      <c r="D1" s="26" t="s">
        <v>54</v>
      </c>
      <c r="E1" s="95" t="s">
        <v>93</v>
      </c>
      <c r="G1" s="193" t="s">
        <v>87</v>
      </c>
      <c r="H1" s="186" t="s">
        <v>88</v>
      </c>
      <c r="I1" s="186" t="s">
        <v>59</v>
      </c>
      <c r="J1" s="186" t="s">
        <v>134</v>
      </c>
      <c r="K1" s="186" t="s">
        <v>104</v>
      </c>
      <c r="L1" s="186" t="s">
        <v>111</v>
      </c>
      <c r="M1" s="167" t="s">
        <v>24</v>
      </c>
      <c r="N1" s="167"/>
      <c r="O1" s="167"/>
      <c r="P1" s="167"/>
      <c r="Q1" s="167"/>
      <c r="R1" s="168"/>
    </row>
    <row r="2" spans="1:18" ht="62" x14ac:dyDescent="0.3">
      <c r="A2" s="28" t="s">
        <v>31</v>
      </c>
      <c r="B2" s="8" t="s">
        <v>42</v>
      </c>
      <c r="C2" s="8" t="s">
        <v>7</v>
      </c>
      <c r="D2" s="8" t="s">
        <v>0</v>
      </c>
      <c r="E2" s="29" t="s">
        <v>94</v>
      </c>
      <c r="G2" s="194"/>
      <c r="H2" s="187"/>
      <c r="I2" s="187"/>
      <c r="J2" s="187"/>
      <c r="K2" s="187"/>
      <c r="L2" s="187"/>
      <c r="M2" s="5" t="s">
        <v>121</v>
      </c>
      <c r="N2" s="5" t="s">
        <v>122</v>
      </c>
      <c r="O2" s="5" t="s">
        <v>124</v>
      </c>
      <c r="P2" s="5" t="s">
        <v>13</v>
      </c>
      <c r="Q2" s="5" t="s">
        <v>123</v>
      </c>
      <c r="R2" s="79" t="s">
        <v>65</v>
      </c>
    </row>
    <row r="3" spans="1:18" ht="13.5" thickBot="1" x14ac:dyDescent="0.35">
      <c r="A3" s="30" t="s">
        <v>42</v>
      </c>
      <c r="B3" s="31" t="s">
        <v>42</v>
      </c>
      <c r="C3" s="31" t="s">
        <v>42</v>
      </c>
      <c r="D3" s="31" t="s">
        <v>3</v>
      </c>
      <c r="E3" s="33" t="s">
        <v>4</v>
      </c>
      <c r="G3" s="28" t="s">
        <v>57</v>
      </c>
      <c r="H3" s="8" t="s">
        <v>58</v>
      </c>
      <c r="I3" s="8" t="s">
        <v>69</v>
      </c>
      <c r="J3" s="8" t="s">
        <v>89</v>
      </c>
      <c r="K3" s="8" t="s">
        <v>102</v>
      </c>
      <c r="L3" s="8" t="s">
        <v>42</v>
      </c>
      <c r="M3" s="188" t="s">
        <v>125</v>
      </c>
      <c r="N3" s="188"/>
      <c r="O3" s="188"/>
      <c r="P3" s="188"/>
      <c r="Q3" s="188"/>
      <c r="R3" s="29" t="s">
        <v>66</v>
      </c>
    </row>
    <row r="4" spans="1:18" ht="26.5" thickBot="1" x14ac:dyDescent="0.35">
      <c r="A4" s="189" t="s">
        <v>32</v>
      </c>
      <c r="B4" s="191" t="s">
        <v>52</v>
      </c>
      <c r="C4" s="35" t="s">
        <v>79</v>
      </c>
      <c r="D4" s="36">
        <v>18</v>
      </c>
      <c r="E4" s="96">
        <v>0.5</v>
      </c>
      <c r="G4" s="30" t="s">
        <v>3</v>
      </c>
      <c r="H4" s="31" t="s">
        <v>3</v>
      </c>
      <c r="I4" s="31" t="s">
        <v>25</v>
      </c>
      <c r="J4" s="31" t="s">
        <v>3</v>
      </c>
      <c r="K4" s="31" t="s">
        <v>103</v>
      </c>
      <c r="L4" s="31" t="s">
        <v>42</v>
      </c>
      <c r="M4" s="169" t="s">
        <v>20</v>
      </c>
      <c r="N4" s="169"/>
      <c r="O4" s="169"/>
      <c r="P4" s="169"/>
      <c r="Q4" s="169"/>
      <c r="R4" s="170"/>
    </row>
    <row r="5" spans="1:18" ht="26.5" thickBot="1" x14ac:dyDescent="0.35">
      <c r="A5" s="190"/>
      <c r="B5" s="192"/>
      <c r="C5" s="43" t="s">
        <v>80</v>
      </c>
      <c r="D5" s="44">
        <v>20</v>
      </c>
      <c r="E5" s="97">
        <v>0.5</v>
      </c>
      <c r="G5" s="80">
        <v>10</v>
      </c>
      <c r="H5" s="81">
        <v>-12</v>
      </c>
      <c r="I5" s="81" t="s">
        <v>60</v>
      </c>
      <c r="J5" s="81">
        <v>10</v>
      </c>
      <c r="K5" s="81">
        <v>0.34</v>
      </c>
      <c r="L5" s="81" t="s">
        <v>112</v>
      </c>
      <c r="M5" s="81">
        <v>0.3</v>
      </c>
      <c r="N5" s="81">
        <v>1.2</v>
      </c>
      <c r="O5" s="81">
        <v>0.7</v>
      </c>
      <c r="P5" s="81">
        <v>0.4</v>
      </c>
      <c r="Q5" s="81">
        <v>1.3</v>
      </c>
      <c r="R5" s="82">
        <v>0.05</v>
      </c>
    </row>
    <row r="6" spans="1:18" ht="26" x14ac:dyDescent="0.3">
      <c r="A6" s="189" t="s">
        <v>30</v>
      </c>
      <c r="B6" s="191" t="s">
        <v>52</v>
      </c>
      <c r="C6" s="35" t="s">
        <v>81</v>
      </c>
      <c r="D6" s="36">
        <v>20</v>
      </c>
      <c r="E6" s="96">
        <v>0.5</v>
      </c>
    </row>
    <row r="7" spans="1:18" ht="26.5" thickBot="1" x14ac:dyDescent="0.35">
      <c r="A7" s="190"/>
      <c r="B7" s="192"/>
      <c r="C7" s="43" t="s">
        <v>82</v>
      </c>
      <c r="D7" s="44">
        <v>18</v>
      </c>
      <c r="E7" s="97">
        <v>0.5</v>
      </c>
    </row>
  </sheetData>
  <mergeCells count="13">
    <mergeCell ref="H1:H2"/>
    <mergeCell ref="A6:A7"/>
    <mergeCell ref="B6:B7"/>
    <mergeCell ref="A4:A5"/>
    <mergeCell ref="B4:B5"/>
    <mergeCell ref="G1:G2"/>
    <mergeCell ref="M4:R4"/>
    <mergeCell ref="I1:I2"/>
    <mergeCell ref="J1:J2"/>
    <mergeCell ref="K1:K2"/>
    <mergeCell ref="L1:L2"/>
    <mergeCell ref="M1:R1"/>
    <mergeCell ref="M3:Q3"/>
  </mergeCells>
  <pageMargins left="0.7" right="0.7" top="0.78740157499999996" bottom="0.78740157499999996"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5546875" defaultRowHeight="13"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5546875" defaultRowHeight="13"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Tabelle1</vt:lpstr>
      <vt:lpstr>INFO</vt:lpstr>
      <vt:lpstr>Calculation, Results</vt:lpstr>
      <vt:lpstr>Input data</vt:lpstr>
      <vt:lpstr>Feuil2</vt:lpstr>
      <vt:lpstr>Feuil3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 Rosenkranz</dc:creator>
  <cp:lastModifiedBy>Karin Klaris</cp:lastModifiedBy>
  <dcterms:created xsi:type="dcterms:W3CDTF">2014-02-28T16:07:05Z</dcterms:created>
  <dcterms:modified xsi:type="dcterms:W3CDTF">2015-03-19T11:36:39Z</dcterms:modified>
</cp:coreProperties>
</file>